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JUNE 2020\"/>
    </mc:Choice>
  </mc:AlternateContent>
  <workbookProtection workbookAlgorithmName="SHA-512" workbookHashValue="RVp2FNtNhP4AMFvrwaBXI1HO0u+s/r3TPZbrGcuCC1rt7uOnoHFDelNIAvZ/dsxjYR1tYfTgAsFSlf7CjDhOgw==" workbookSaltValue="xMgLkAZPzVZmMYsE6xvb3g==" workbookSpinCount="100000" lockStructure="1"/>
  <bookViews>
    <workbookView xWindow="0" yWindow="0" windowWidth="28800" windowHeight="10200" tabRatio="792" firstSheet="13" activeTab="26"/>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'SC1'!$A$1:$E$50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'SC6'!$A$1:$K$58</definedName>
    <definedName name="_xlnm.Print_Area" localSheetId="22">'SC7(1)'!$A$1:$K$58</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K56" i="330" l="1"/>
  <c r="H56" i="330"/>
  <c r="H158" i="335" l="1"/>
  <c r="H152" i="335"/>
  <c r="H149" i="335"/>
  <c r="H108" i="335"/>
  <c r="H46" i="335"/>
  <c r="H30" i="335"/>
  <c r="H18" i="335"/>
  <c r="H9" i="335"/>
  <c r="H9" i="333"/>
  <c r="H21" i="333"/>
  <c r="H20" i="333"/>
  <c r="H19" i="333"/>
  <c r="H25" i="333"/>
  <c r="H30" i="333"/>
  <c r="H40" i="333"/>
  <c r="H46" i="333"/>
  <c r="H54" i="333"/>
  <c r="H119" i="333"/>
  <c r="H144" i="333"/>
  <c r="H149" i="333"/>
  <c r="H152" i="333"/>
  <c r="H155" i="333"/>
  <c r="H155" i="325"/>
  <c r="H119" i="325"/>
  <c r="H96" i="325"/>
  <c r="H25" i="325"/>
  <c r="H22" i="325"/>
  <c r="H19" i="325"/>
  <c r="H9" i="326"/>
  <c r="H46" i="326"/>
  <c r="H152" i="326"/>
  <c r="H155" i="326"/>
  <c r="H161" i="242"/>
  <c r="H155" i="242"/>
  <c r="H152" i="242"/>
  <c r="H149" i="242"/>
  <c r="H144" i="242"/>
  <c r="H108" i="242"/>
  <c r="H88" i="242"/>
  <c r="H84" i="242"/>
  <c r="H77" i="242"/>
  <c r="H46" i="242"/>
  <c r="H23" i="242"/>
  <c r="H18" i="242"/>
  <c r="H9" i="242"/>
  <c r="H14" i="181"/>
  <c r="H13" i="181"/>
  <c r="H12" i="181"/>
  <c r="H10" i="181"/>
  <c r="H9" i="181"/>
  <c r="H8" i="181"/>
  <c r="H7" i="181"/>
  <c r="H6" i="181"/>
  <c r="H20" i="181"/>
  <c r="H19" i="181"/>
  <c r="H18" i="181"/>
  <c r="H17" i="181"/>
  <c r="H16" i="181"/>
  <c r="H35" i="181"/>
  <c r="H34" i="181"/>
  <c r="H33" i="181"/>
  <c r="H32" i="181"/>
  <c r="H31" i="181"/>
  <c r="H30" i="181"/>
  <c r="H29" i="181"/>
  <c r="H28" i="181"/>
  <c r="H27" i="181"/>
  <c r="H26" i="181"/>
  <c r="H25" i="181"/>
  <c r="H39" i="181"/>
  <c r="H77" i="318"/>
  <c r="H76" i="318"/>
  <c r="H75" i="318"/>
  <c r="H74" i="318"/>
  <c r="H73" i="318"/>
  <c r="H72" i="318"/>
  <c r="H71" i="318"/>
  <c r="H63" i="318"/>
  <c r="H44" i="318"/>
  <c r="H42" i="318"/>
  <c r="H41" i="318"/>
  <c r="H40" i="318"/>
  <c r="H39" i="318"/>
  <c r="H38" i="318"/>
  <c r="H37" i="318"/>
  <c r="H36" i="318"/>
  <c r="H35" i="318"/>
  <c r="H34" i="318"/>
  <c r="H25" i="318"/>
  <c r="H24" i="318"/>
  <c r="H23" i="318"/>
  <c r="H22" i="318"/>
  <c r="H20" i="318"/>
  <c r="H19" i="318"/>
  <c r="H18" i="318"/>
  <c r="H12" i="318"/>
  <c r="H11" i="318"/>
  <c r="H10" i="318"/>
  <c r="H9" i="318"/>
  <c r="H8" i="318"/>
  <c r="H7" i="318"/>
  <c r="H10" i="269"/>
  <c r="H9" i="269"/>
  <c r="H12" i="269"/>
  <c r="H14" i="269"/>
  <c r="H19" i="269"/>
  <c r="H16" i="269"/>
  <c r="H23" i="269"/>
  <c r="H22" i="269"/>
  <c r="H26" i="269"/>
  <c r="H25" i="269"/>
  <c r="H38" i="269"/>
  <c r="H37" i="269"/>
  <c r="H36" i="269"/>
  <c r="H43" i="269"/>
  <c r="H42" i="269"/>
  <c r="H51" i="269"/>
  <c r="H50" i="269"/>
  <c r="H49" i="269"/>
  <c r="H48" i="269"/>
  <c r="H51" i="270"/>
  <c r="H50" i="270"/>
  <c r="H49" i="270"/>
  <c r="H48" i="270"/>
  <c r="H43" i="270"/>
  <c r="H42" i="270"/>
  <c r="H38" i="270"/>
  <c r="H37" i="270"/>
  <c r="H36" i="270"/>
  <c r="H26" i="270"/>
  <c r="H25" i="270"/>
  <c r="H23" i="270"/>
  <c r="H22" i="270"/>
  <c r="H19" i="270"/>
  <c r="H16" i="270"/>
  <c r="H14" i="270"/>
  <c r="H12" i="270"/>
  <c r="H10" i="270"/>
  <c r="H9" i="270"/>
  <c r="H36" i="177"/>
  <c r="H27" i="177"/>
  <c r="H17" i="177"/>
  <c r="H16" i="177"/>
  <c r="H15" i="177"/>
  <c r="H12" i="177"/>
  <c r="H11" i="177"/>
  <c r="H10" i="177"/>
  <c r="H9" i="177"/>
  <c r="H8" i="177"/>
  <c r="H7" i="177"/>
  <c r="H235" i="324"/>
  <c r="H234" i="324"/>
  <c r="H232" i="324"/>
  <c r="H224" i="324"/>
  <c r="H223" i="324"/>
  <c r="H222" i="324"/>
  <c r="H221" i="324"/>
  <c r="H214" i="324"/>
  <c r="H213" i="324"/>
  <c r="H212" i="324"/>
  <c r="H211" i="324"/>
  <c r="H210" i="324"/>
  <c r="H201" i="324"/>
  <c r="H200" i="324"/>
  <c r="H199" i="324"/>
  <c r="H192" i="324"/>
  <c r="H191" i="324"/>
  <c r="H189" i="324"/>
  <c r="H188" i="324"/>
  <c r="H180" i="324"/>
  <c r="H179" i="324"/>
  <c r="H178" i="324"/>
  <c r="H177" i="324"/>
  <c r="H66" i="324"/>
  <c r="H65" i="324"/>
  <c r="H63" i="324"/>
  <c r="H55" i="324"/>
  <c r="H54" i="324"/>
  <c r="H52" i="324"/>
  <c r="H44" i="324"/>
  <c r="H33" i="324"/>
  <c r="H32" i="324"/>
  <c r="H31" i="324"/>
  <c r="H30" i="324"/>
  <c r="H20" i="324"/>
  <c r="H19" i="324"/>
  <c r="H73" i="268"/>
  <c r="H72" i="268"/>
  <c r="H67" i="268"/>
  <c r="H66" i="268"/>
  <c r="H62" i="268"/>
  <c r="H61" i="268"/>
  <c r="H60" i="268"/>
  <c r="H59" i="268"/>
  <c r="H58" i="268"/>
  <c r="H55" i="268"/>
  <c r="H54" i="268"/>
  <c r="H51" i="268"/>
  <c r="H50" i="268"/>
  <c r="H49" i="268"/>
  <c r="H48" i="268"/>
  <c r="H46" i="268"/>
  <c r="H45" i="268"/>
  <c r="H44" i="268"/>
  <c r="H10" i="182"/>
  <c r="H9" i="182"/>
  <c r="H8" i="182"/>
  <c r="H7" i="182"/>
  <c r="H6" i="182"/>
  <c r="H14" i="182"/>
  <c r="H13" i="182"/>
  <c r="H12" i="182"/>
  <c r="H20" i="182"/>
  <c r="H19" i="182"/>
  <c r="H18" i="182"/>
  <c r="H17" i="182"/>
  <c r="H16" i="182"/>
  <c r="H34" i="182"/>
  <c r="H33" i="182"/>
  <c r="H32" i="182"/>
  <c r="H31" i="182"/>
  <c r="H30" i="182"/>
  <c r="H29" i="182"/>
  <c r="H28" i="182"/>
  <c r="H27" i="182"/>
  <c r="H26" i="182"/>
  <c r="H25" i="182"/>
  <c r="H39" i="182"/>
  <c r="H8" i="323"/>
  <c r="H22" i="323"/>
  <c r="H21" i="323"/>
  <c r="H20" i="323"/>
  <c r="H19" i="323"/>
  <c r="H18" i="323"/>
  <c r="H32" i="323"/>
  <c r="H31" i="323"/>
  <c r="H30" i="323"/>
  <c r="H29" i="323"/>
  <c r="H43" i="323"/>
  <c r="H42" i="323"/>
  <c r="H41" i="323"/>
  <c r="H40" i="323"/>
  <c r="H54" i="323"/>
  <c r="H53" i="323"/>
  <c r="H52" i="323"/>
  <c r="H51" i="323"/>
  <c r="H65" i="323"/>
  <c r="H64" i="323"/>
  <c r="H63" i="323"/>
  <c r="H62" i="323"/>
  <c r="H178" i="323"/>
  <c r="H177" i="323"/>
  <c r="H176" i="323"/>
  <c r="H175" i="323"/>
  <c r="H190" i="323"/>
  <c r="H189" i="323"/>
  <c r="H188" i="323"/>
  <c r="H187" i="323"/>
  <c r="H186" i="323"/>
  <c r="H200" i="323"/>
  <c r="H199" i="323"/>
  <c r="H198" i="323"/>
  <c r="H197" i="323"/>
  <c r="H212" i="323"/>
  <c r="H211" i="323"/>
  <c r="H210" i="323"/>
  <c r="H209" i="323"/>
  <c r="H208" i="323"/>
  <c r="H223" i="323"/>
  <c r="H222" i="323"/>
  <c r="H221" i="323"/>
  <c r="H220" i="323"/>
  <c r="H219" i="323"/>
  <c r="H234" i="323"/>
  <c r="H233" i="323"/>
  <c r="H232" i="323"/>
  <c r="H231" i="323"/>
  <c r="H230" i="323"/>
  <c r="H246" i="330"/>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7" i="330"/>
  <c r="H90" i="330"/>
  <c r="H88" i="330"/>
  <c r="H83" i="330"/>
  <c r="H65" i="330"/>
  <c r="H62" i="330"/>
  <c r="H60" i="330"/>
  <c r="H53" i="330"/>
  <c r="H44" i="330"/>
  <c r="H41" i="330"/>
  <c r="H33" i="330"/>
  <c r="H31" i="330"/>
  <c r="H22" i="330"/>
  <c r="H19" i="330"/>
  <c r="H17" i="330"/>
  <c r="H16" i="330"/>
  <c r="H15" i="330"/>
  <c r="H13" i="330"/>
  <c r="H12" i="330"/>
  <c r="H9" i="330"/>
  <c r="K26" i="269" l="1"/>
  <c r="K26" i="270"/>
  <c r="H27" i="269" l="1"/>
  <c r="H27" i="270"/>
  <c r="G47" i="178" l="1"/>
  <c r="G46" i="178"/>
  <c r="G39" i="178"/>
  <c r="G38" i="178"/>
  <c r="G34" i="178"/>
  <c r="G33" i="178"/>
  <c r="G32" i="178"/>
  <c r="G31" i="178"/>
  <c r="G23" i="178"/>
  <c r="G20" i="178"/>
  <c r="G18" i="178"/>
  <c r="G8" i="178"/>
  <c r="G9" i="178"/>
  <c r="G10" i="178"/>
  <c r="G12" i="178"/>
  <c r="G7" i="178"/>
  <c r="K234" i="324" l="1"/>
  <c r="K214" i="324"/>
  <c r="K213" i="324"/>
  <c r="K212" i="324"/>
  <c r="K211" i="324"/>
  <c r="K44" i="324"/>
  <c r="K84" i="242"/>
  <c r="K51" i="269"/>
  <c r="K50" i="269"/>
  <c r="K49" i="269"/>
  <c r="K48" i="269"/>
  <c r="K43" i="269"/>
  <c r="K42" i="269"/>
  <c r="K38" i="269"/>
  <c r="K37" i="269"/>
  <c r="K36" i="269"/>
  <c r="I51" i="269"/>
  <c r="J51" i="269" s="1"/>
  <c r="K25" i="269"/>
  <c r="K23" i="269"/>
  <c r="K22" i="269"/>
  <c r="K19" i="269"/>
  <c r="K16" i="269"/>
  <c r="K14" i="269"/>
  <c r="K12" i="269"/>
  <c r="K10" i="269"/>
  <c r="K9" i="269"/>
  <c r="K51" i="270"/>
  <c r="K50" i="270"/>
  <c r="K49" i="270"/>
  <c r="G18" i="270"/>
  <c r="F18" i="270"/>
  <c r="D18" i="270"/>
  <c r="E18" i="270"/>
  <c r="K19" i="270"/>
  <c r="I119" i="333" l="1"/>
  <c r="J119" i="333" s="1"/>
  <c r="I152" i="326"/>
  <c r="J152" i="326" s="1"/>
  <c r="H160" i="242"/>
  <c r="I108" i="242"/>
  <c r="J108" i="242" s="1"/>
  <c r="I33" i="181"/>
  <c r="J33" i="181" s="1"/>
  <c r="H36" i="181"/>
  <c r="I16" i="181"/>
  <c r="J16" i="181" s="1"/>
  <c r="I75" i="318"/>
  <c r="J75" i="318" s="1"/>
  <c r="I72" i="318"/>
  <c r="J72" i="318" s="1"/>
  <c r="H46" i="318"/>
  <c r="I10" i="318"/>
  <c r="J10" i="318" s="1"/>
  <c r="H14" i="318"/>
  <c r="H44" i="269"/>
  <c r="I43" i="269"/>
  <c r="J43" i="269" s="1"/>
  <c r="I27" i="269"/>
  <c r="J27" i="269" s="1"/>
  <c r="H18" i="269"/>
  <c r="I22" i="269"/>
  <c r="I16" i="269"/>
  <c r="J16" i="269" s="1"/>
  <c r="I10" i="269"/>
  <c r="J10" i="269" s="1"/>
  <c r="I43" i="270"/>
  <c r="J43" i="270" s="1"/>
  <c r="I42" i="270"/>
  <c r="I37" i="270"/>
  <c r="J37" i="270" s="1"/>
  <c r="I9" i="270"/>
  <c r="H18" i="177"/>
  <c r="H220" i="324"/>
  <c r="H28" i="268" s="1"/>
  <c r="I201" i="324"/>
  <c r="J201" i="324" s="1"/>
  <c r="H187" i="324"/>
  <c r="I177" i="324"/>
  <c r="J177" i="324" s="1"/>
  <c r="H40" i="324"/>
  <c r="H9" i="268" s="1"/>
  <c r="I30" i="324"/>
  <c r="J30" i="324" s="1"/>
  <c r="I20" i="324"/>
  <c r="J20" i="324" s="1"/>
  <c r="I19" i="324"/>
  <c r="J19" i="324" s="1"/>
  <c r="H70" i="268"/>
  <c r="G29" i="267" s="1"/>
  <c r="I66" i="268"/>
  <c r="J66" i="268" s="1"/>
  <c r="I55" i="268"/>
  <c r="J55" i="268" s="1"/>
  <c r="I50" i="268"/>
  <c r="J50" i="268" s="1"/>
  <c r="I49" i="268"/>
  <c r="J49" i="268" s="1"/>
  <c r="I35" i="182"/>
  <c r="J35" i="182" s="1"/>
  <c r="I34" i="182"/>
  <c r="J34" i="182" s="1"/>
  <c r="G16" i="267"/>
  <c r="I30" i="182"/>
  <c r="J30" i="182" s="1"/>
  <c r="I29" i="182"/>
  <c r="J29" i="182" s="1"/>
  <c r="G14" i="267"/>
  <c r="I26" i="182"/>
  <c r="J26" i="182" s="1"/>
  <c r="I25" i="182"/>
  <c r="J25" i="182" s="1"/>
  <c r="G9" i="267"/>
  <c r="I16" i="182"/>
  <c r="J16" i="182" s="1"/>
  <c r="I13" i="182"/>
  <c r="J13" i="182" s="1"/>
  <c r="I9" i="182"/>
  <c r="J9" i="182" s="1"/>
  <c r="I223" i="323"/>
  <c r="J223" i="323" s="1"/>
  <c r="I211" i="323"/>
  <c r="J211" i="323" s="1"/>
  <c r="I197" i="323"/>
  <c r="J197" i="323" s="1"/>
  <c r="I189" i="323"/>
  <c r="J189" i="323" s="1"/>
  <c r="I187" i="323"/>
  <c r="J187" i="323" s="1"/>
  <c r="I64" i="323"/>
  <c r="J64" i="323" s="1"/>
  <c r="H39" i="323"/>
  <c r="I41" i="323"/>
  <c r="J41" i="323" s="1"/>
  <c r="H28" i="323"/>
  <c r="I20" i="323"/>
  <c r="J20" i="323" s="1"/>
  <c r="H17" i="323"/>
  <c r="I231" i="330"/>
  <c r="J231" i="330" s="1"/>
  <c r="I187" i="330"/>
  <c r="J187" i="330" s="1"/>
  <c r="I167" i="330"/>
  <c r="J167" i="330" s="1"/>
  <c r="I140" i="330"/>
  <c r="J140" i="330" s="1"/>
  <c r="I133" i="330"/>
  <c r="J133" i="330" s="1"/>
  <c r="I131" i="330"/>
  <c r="J131" i="330" s="1"/>
  <c r="H129" i="330"/>
  <c r="H104" i="330"/>
  <c r="I15" i="330"/>
  <c r="J15" i="330" s="1"/>
  <c r="H148" i="335"/>
  <c r="I148" i="335" s="1"/>
  <c r="J148" i="335" s="1"/>
  <c r="I29" i="181"/>
  <c r="J29" i="181" s="1"/>
  <c r="I12" i="181"/>
  <c r="J12" i="181" s="1"/>
  <c r="I76" i="318"/>
  <c r="J76" i="318" s="1"/>
  <c r="I44" i="318"/>
  <c r="J44" i="318" s="1"/>
  <c r="I39" i="318"/>
  <c r="J39" i="318" s="1"/>
  <c r="I35" i="318"/>
  <c r="J35" i="318" s="1"/>
  <c r="H30" i="318"/>
  <c r="I36" i="269"/>
  <c r="J36" i="269" s="1"/>
  <c r="I15" i="177"/>
  <c r="J15" i="177" s="1"/>
  <c r="I9" i="177"/>
  <c r="J9" i="177" s="1"/>
  <c r="I60" i="268"/>
  <c r="J60" i="268" s="1"/>
  <c r="H57" i="268"/>
  <c r="H43" i="268"/>
  <c r="G17" i="267"/>
  <c r="G7" i="267"/>
  <c r="I231" i="323"/>
  <c r="J231" i="323" s="1"/>
  <c r="I220" i="323"/>
  <c r="J220" i="323" s="1"/>
  <c r="I177" i="323"/>
  <c r="J177" i="323" s="1"/>
  <c r="I63" i="323"/>
  <c r="J63" i="323" s="1"/>
  <c r="I40" i="323"/>
  <c r="J40" i="323" s="1"/>
  <c r="I174" i="330"/>
  <c r="J174" i="330" s="1"/>
  <c r="I116" i="330"/>
  <c r="J116" i="330" s="1"/>
  <c r="I158" i="335"/>
  <c r="J158" i="335" s="1"/>
  <c r="H27" i="335"/>
  <c r="H151" i="326"/>
  <c r="I17" i="181"/>
  <c r="J17" i="181" s="1"/>
  <c r="I22" i="318"/>
  <c r="J22" i="318" s="1"/>
  <c r="I18" i="318"/>
  <c r="J18" i="318" s="1"/>
  <c r="I14" i="270"/>
  <c r="J14" i="270" s="1"/>
  <c r="I16" i="177"/>
  <c r="J16" i="177" s="1"/>
  <c r="I10" i="177"/>
  <c r="J10" i="177" s="1"/>
  <c r="H198" i="324"/>
  <c r="H26" i="268" s="1"/>
  <c r="I61" i="268"/>
  <c r="J61" i="268" s="1"/>
  <c r="I18" i="182"/>
  <c r="J18" i="182" s="1"/>
  <c r="I139" i="330"/>
  <c r="J139" i="330" s="1"/>
  <c r="I134" i="330"/>
  <c r="J134" i="330" s="1"/>
  <c r="I83" i="330"/>
  <c r="J83" i="330" s="1"/>
  <c r="H10" i="330"/>
  <c r="H8" i="241" s="1"/>
  <c r="K44" i="318"/>
  <c r="K42" i="318"/>
  <c r="K41" i="318"/>
  <c r="K40" i="318"/>
  <c r="K39" i="318"/>
  <c r="K38" i="318"/>
  <c r="K37" i="318"/>
  <c r="K36" i="318"/>
  <c r="K35" i="318"/>
  <c r="K34" i="318"/>
  <c r="K25" i="318"/>
  <c r="K24" i="318"/>
  <c r="K23" i="318"/>
  <c r="K22" i="318"/>
  <c r="K20" i="318"/>
  <c r="K19" i="318"/>
  <c r="K18" i="318"/>
  <c r="K12" i="318"/>
  <c r="K11" i="318"/>
  <c r="K10" i="318"/>
  <c r="K9" i="318"/>
  <c r="K8" i="318"/>
  <c r="K7" i="318"/>
  <c r="K63" i="318"/>
  <c r="K77" i="318"/>
  <c r="K76" i="318"/>
  <c r="K75" i="318"/>
  <c r="K74" i="318"/>
  <c r="K73" i="318"/>
  <c r="K72" i="318"/>
  <c r="K83" i="318" s="1"/>
  <c r="K71" i="318"/>
  <c r="K9" i="242"/>
  <c r="K8" i="242" s="1"/>
  <c r="K18" i="242"/>
  <c r="K23" i="242"/>
  <c r="K46" i="242"/>
  <c r="K77" i="242"/>
  <c r="K88" i="242"/>
  <c r="K108" i="242"/>
  <c r="K144" i="242"/>
  <c r="K149" i="242"/>
  <c r="K152" i="242"/>
  <c r="K155" i="242"/>
  <c r="K161" i="242"/>
  <c r="K155" i="326"/>
  <c r="K152" i="326"/>
  <c r="K46" i="326"/>
  <c r="K9" i="326"/>
  <c r="K9" i="335"/>
  <c r="K8" i="335" s="1"/>
  <c r="K18" i="335"/>
  <c r="K30" i="335"/>
  <c r="K46" i="335"/>
  <c r="K108" i="335"/>
  <c r="K103" i="335" s="1"/>
  <c r="K149" i="335"/>
  <c r="K152" i="335"/>
  <c r="K151" i="335" s="1"/>
  <c r="K158" i="335"/>
  <c r="K155" i="333"/>
  <c r="K152" i="333"/>
  <c r="K149" i="333"/>
  <c r="K144" i="333"/>
  <c r="K119" i="333"/>
  <c r="K54" i="333"/>
  <c r="K46" i="333"/>
  <c r="K40" i="333"/>
  <c r="K30" i="333"/>
  <c r="K25" i="333"/>
  <c r="K21" i="333"/>
  <c r="K20" i="333"/>
  <c r="K19" i="333"/>
  <c r="K17" i="333" s="1"/>
  <c r="K9" i="333"/>
  <c r="K10" i="181"/>
  <c r="K9" i="181"/>
  <c r="K8" i="181"/>
  <c r="K7" i="181"/>
  <c r="K6" i="181"/>
  <c r="K20" i="181"/>
  <c r="K19" i="181"/>
  <c r="K18" i="181"/>
  <c r="K17" i="181"/>
  <c r="K16" i="181"/>
  <c r="K14" i="181"/>
  <c r="K13" i="181"/>
  <c r="K12" i="181"/>
  <c r="K35" i="181"/>
  <c r="K34" i="181"/>
  <c r="K33" i="181"/>
  <c r="K32" i="181"/>
  <c r="K31" i="181"/>
  <c r="K30" i="181"/>
  <c r="K29" i="181"/>
  <c r="K28" i="181"/>
  <c r="K27" i="181"/>
  <c r="K26" i="181"/>
  <c r="K36" i="181" s="1"/>
  <c r="K25" i="181"/>
  <c r="K39" i="181"/>
  <c r="K48" i="270"/>
  <c r="K44" i="270" s="1"/>
  <c r="K43" i="270"/>
  <c r="K42" i="270"/>
  <c r="K38" i="270"/>
  <c r="K37" i="270"/>
  <c r="K36" i="270"/>
  <c r="K35" i="270" s="1"/>
  <c r="K25" i="270"/>
  <c r="K23" i="270"/>
  <c r="K22" i="270"/>
  <c r="K18" i="270" s="1"/>
  <c r="K16" i="270"/>
  <c r="K14" i="270"/>
  <c r="K12" i="270"/>
  <c r="K10" i="270"/>
  <c r="K9" i="270"/>
  <c r="K12" i="177"/>
  <c r="K11" i="177"/>
  <c r="K10" i="177"/>
  <c r="K9" i="177"/>
  <c r="K8" i="177"/>
  <c r="K7" i="177"/>
  <c r="K17" i="177"/>
  <c r="K16" i="177"/>
  <c r="K15" i="177"/>
  <c r="K27" i="177"/>
  <c r="K36" i="177"/>
  <c r="I223" i="324"/>
  <c r="J223" i="324" s="1"/>
  <c r="I63" i="324"/>
  <c r="J63" i="324" s="1"/>
  <c r="I32" i="324"/>
  <c r="J32" i="324" s="1"/>
  <c r="K235" i="324"/>
  <c r="K232" i="324"/>
  <c r="K224" i="324"/>
  <c r="K223" i="324"/>
  <c r="K222" i="324"/>
  <c r="K221" i="324"/>
  <c r="K210" i="324"/>
  <c r="K201" i="324"/>
  <c r="K200" i="324"/>
  <c r="K199" i="324"/>
  <c r="K192" i="324"/>
  <c r="K191" i="324"/>
  <c r="K189" i="324"/>
  <c r="K188" i="324"/>
  <c r="K187" i="324" s="1"/>
  <c r="K180" i="324"/>
  <c r="K179" i="324"/>
  <c r="K178" i="324"/>
  <c r="K177" i="324"/>
  <c r="K66" i="324"/>
  <c r="K65" i="324"/>
  <c r="K63" i="324"/>
  <c r="K55" i="324"/>
  <c r="K54" i="324"/>
  <c r="K52" i="324"/>
  <c r="K51" i="324" s="1"/>
  <c r="K10" i="268" s="1"/>
  <c r="K33" i="324"/>
  <c r="K32" i="324"/>
  <c r="K31" i="324"/>
  <c r="K30" i="324"/>
  <c r="K20" i="324"/>
  <c r="K19" i="324"/>
  <c r="K18" i="324" s="1"/>
  <c r="K9" i="324"/>
  <c r="H7" i="324"/>
  <c r="K73" i="268"/>
  <c r="K72" i="268"/>
  <c r="K67" i="268"/>
  <c r="K66" i="268"/>
  <c r="K62" i="268"/>
  <c r="K61" i="268"/>
  <c r="K60" i="268"/>
  <c r="K59" i="268"/>
  <c r="K58" i="268"/>
  <c r="K55" i="268"/>
  <c r="K54" i="268"/>
  <c r="K53" i="268" s="1"/>
  <c r="K51" i="268"/>
  <c r="K50" i="268"/>
  <c r="K49" i="268"/>
  <c r="K47" i="268" s="1"/>
  <c r="K48" i="268"/>
  <c r="K46" i="268"/>
  <c r="K45" i="268"/>
  <c r="K44" i="268"/>
  <c r="K43" i="268" s="1"/>
  <c r="I32" i="182"/>
  <c r="J32" i="182" s="1"/>
  <c r="I12" i="182"/>
  <c r="J12" i="182" s="1"/>
  <c r="K39" i="182"/>
  <c r="K35" i="182"/>
  <c r="K34" i="182"/>
  <c r="K33" i="182"/>
  <c r="K32" i="182"/>
  <c r="K31" i="182"/>
  <c r="K30" i="182"/>
  <c r="K29" i="182"/>
  <c r="H42" i="174" s="1"/>
  <c r="K28" i="182"/>
  <c r="K27" i="182"/>
  <c r="K26" i="182"/>
  <c r="K25" i="182"/>
  <c r="J12" i="267" s="1"/>
  <c r="K20" i="182"/>
  <c r="K19" i="182"/>
  <c r="J9" i="267" s="1"/>
  <c r="K18" i="182"/>
  <c r="K17" i="182"/>
  <c r="K16" i="182"/>
  <c r="K14" i="182"/>
  <c r="K13" i="182"/>
  <c r="K12" i="182"/>
  <c r="J10" i="267" s="1"/>
  <c r="K10" i="182"/>
  <c r="K9" i="182"/>
  <c r="K8" i="182"/>
  <c r="K7" i="182"/>
  <c r="K6" i="182"/>
  <c r="K234" i="323"/>
  <c r="K233" i="323"/>
  <c r="K232" i="323"/>
  <c r="K231" i="323"/>
  <c r="K230" i="323"/>
  <c r="K223" i="323"/>
  <c r="K222" i="323"/>
  <c r="K221" i="323"/>
  <c r="K220" i="323"/>
  <c r="K218" i="323" s="1"/>
  <c r="K28" i="272" s="1"/>
  <c r="K219" i="323"/>
  <c r="K212" i="323"/>
  <c r="K211" i="323"/>
  <c r="K210" i="323"/>
  <c r="K209" i="323"/>
  <c r="K208" i="323"/>
  <c r="K200" i="323"/>
  <c r="K199" i="323"/>
  <c r="K198" i="323"/>
  <c r="K197" i="323"/>
  <c r="K190" i="323"/>
  <c r="K189" i="323"/>
  <c r="K188" i="323"/>
  <c r="K187" i="323"/>
  <c r="K186" i="323"/>
  <c r="K178" i="323"/>
  <c r="K177" i="323"/>
  <c r="K176" i="323"/>
  <c r="K174" i="323" s="1"/>
  <c r="K175" i="323"/>
  <c r="K65" i="323"/>
  <c r="K64" i="323"/>
  <c r="K63" i="323"/>
  <c r="K62" i="323"/>
  <c r="K54" i="323"/>
  <c r="K53" i="323"/>
  <c r="K52" i="323"/>
  <c r="K51" i="323"/>
  <c r="K43" i="323"/>
  <c r="K42" i="323"/>
  <c r="K41" i="323"/>
  <c r="K40" i="323"/>
  <c r="K32" i="323"/>
  <c r="K31" i="323"/>
  <c r="K30" i="323"/>
  <c r="K28" i="323" s="1"/>
  <c r="K8" i="272" s="1"/>
  <c r="K29" i="323"/>
  <c r="K22" i="323"/>
  <c r="K21" i="323"/>
  <c r="K20" i="323"/>
  <c r="K19" i="323"/>
  <c r="K18" i="323"/>
  <c r="K17" i="323" s="1"/>
  <c r="K7" i="272" s="1"/>
  <c r="K8" i="323"/>
  <c r="K246" i="330"/>
  <c r="K245" i="330"/>
  <c r="K244" i="330"/>
  <c r="K243" i="330"/>
  <c r="K242" i="330"/>
  <c r="K238" i="330"/>
  <c r="K237" i="330"/>
  <c r="K233" i="330"/>
  <c r="K232" i="330"/>
  <c r="K231" i="330"/>
  <c r="K228" i="330"/>
  <c r="K224" i="330"/>
  <c r="K223" i="330"/>
  <c r="K219" i="330"/>
  <c r="K218" i="330"/>
  <c r="K213" i="330"/>
  <c r="K212" i="330"/>
  <c r="K209" i="330" s="1"/>
  <c r="K41" i="241" s="1"/>
  <c r="K210" i="330"/>
  <c r="K205" i="330"/>
  <c r="K203" i="330"/>
  <c r="K200" i="330"/>
  <c r="K191" i="330"/>
  <c r="K187" i="330"/>
  <c r="K184" i="330"/>
  <c r="K182" i="330"/>
  <c r="K178" i="330"/>
  <c r="K175" i="330"/>
  <c r="K174" i="330"/>
  <c r="K167" i="330"/>
  <c r="K166" i="330"/>
  <c r="K163" i="330"/>
  <c r="K155" i="330"/>
  <c r="K153" i="330"/>
  <c r="K152" i="330"/>
  <c r="K150" i="330"/>
  <c r="K147" i="330"/>
  <c r="K144" i="330"/>
  <c r="K143" i="330"/>
  <c r="K141" i="330"/>
  <c r="K140" i="330"/>
  <c r="K139" i="330"/>
  <c r="K138" i="330"/>
  <c r="K137" i="330"/>
  <c r="K135" i="330"/>
  <c r="K134" i="330"/>
  <c r="K133" i="330"/>
  <c r="K131" i="330"/>
  <c r="K130" i="330"/>
  <c r="K9" i="330"/>
  <c r="K13" i="330"/>
  <c r="K12" i="330"/>
  <c r="K17" i="330"/>
  <c r="K16" i="330"/>
  <c r="K15" i="330"/>
  <c r="K19" i="330"/>
  <c r="K22" i="330"/>
  <c r="K33" i="330"/>
  <c r="K31" i="330"/>
  <c r="K41" i="330"/>
  <c r="K44" i="330"/>
  <c r="K53" i="330"/>
  <c r="K60" i="330"/>
  <c r="K62" i="330"/>
  <c r="K65" i="330"/>
  <c r="K83" i="330"/>
  <c r="K76" i="330" s="1"/>
  <c r="K90" i="330"/>
  <c r="K88" i="330"/>
  <c r="K97" i="330"/>
  <c r="K101" i="330"/>
  <c r="K106" i="330"/>
  <c r="K110" i="330"/>
  <c r="K116" i="330"/>
  <c r="K115" i="330"/>
  <c r="K122" i="330"/>
  <c r="K121" i="330"/>
  <c r="K120" i="330"/>
  <c r="K123" i="330"/>
  <c r="I19" i="181"/>
  <c r="J19" i="181" s="1"/>
  <c r="I18" i="181"/>
  <c r="J18" i="181" s="1"/>
  <c r="I77" i="318"/>
  <c r="J77" i="318" s="1"/>
  <c r="I40" i="318"/>
  <c r="J40" i="318" s="1"/>
  <c r="I36" i="318"/>
  <c r="J36" i="318" s="1"/>
  <c r="I54" i="324"/>
  <c r="J54" i="324" s="1"/>
  <c r="I28" i="182"/>
  <c r="J28" i="182" s="1"/>
  <c r="I17" i="182"/>
  <c r="J17" i="182" s="1"/>
  <c r="I14" i="182"/>
  <c r="J14" i="182" s="1"/>
  <c r="I233" i="323"/>
  <c r="J233" i="323" s="1"/>
  <c r="I209" i="323"/>
  <c r="J209" i="323" s="1"/>
  <c r="I198" i="323"/>
  <c r="J198" i="323" s="1"/>
  <c r="I137" i="330"/>
  <c r="J137" i="330" s="1"/>
  <c r="I28" i="181"/>
  <c r="J28" i="181" s="1"/>
  <c r="I23" i="318"/>
  <c r="J23" i="318" s="1"/>
  <c r="I37" i="269"/>
  <c r="J37" i="269" s="1"/>
  <c r="I218" i="330"/>
  <c r="J218" i="330" s="1"/>
  <c r="I20" i="333"/>
  <c r="J20" i="333" s="1"/>
  <c r="I46" i="242"/>
  <c r="J46" i="242" s="1"/>
  <c r="I74" i="318"/>
  <c r="J74" i="318" s="1"/>
  <c r="I73" i="318"/>
  <c r="J73" i="318" s="1"/>
  <c r="I42" i="318"/>
  <c r="J42" i="318" s="1"/>
  <c r="I42" i="269"/>
  <c r="J42" i="269" s="1"/>
  <c r="I210" i="324"/>
  <c r="J210" i="324" s="1"/>
  <c r="G31" i="267"/>
  <c r="I176" i="323"/>
  <c r="J176" i="323" s="1"/>
  <c r="I53" i="323"/>
  <c r="J53" i="323" s="1"/>
  <c r="H6" i="323"/>
  <c r="I237" i="330"/>
  <c r="J237" i="330" s="1"/>
  <c r="I223" i="330"/>
  <c r="J223" i="330" s="1"/>
  <c r="I154" i="330"/>
  <c r="J154" i="330" s="1"/>
  <c r="I143" i="330"/>
  <c r="J143" i="330" s="1"/>
  <c r="I32" i="181"/>
  <c r="J32" i="181" s="1"/>
  <c r="H157" i="335"/>
  <c r="K27" i="333"/>
  <c r="H8" i="333"/>
  <c r="I144" i="333"/>
  <c r="J144" i="333" s="1"/>
  <c r="H148" i="333"/>
  <c r="I155" i="333"/>
  <c r="J155" i="333" s="1"/>
  <c r="K155" i="325"/>
  <c r="K119" i="325"/>
  <c r="K96" i="325"/>
  <c r="K25" i="325"/>
  <c r="K22" i="325"/>
  <c r="K17" i="325" s="1"/>
  <c r="K19" i="325"/>
  <c r="K14" i="318"/>
  <c r="I49" i="269"/>
  <c r="J49" i="269" s="1"/>
  <c r="I47" i="269"/>
  <c r="J47" i="269" s="1"/>
  <c r="I46" i="269"/>
  <c r="J46" i="269" s="1"/>
  <c r="I45" i="269"/>
  <c r="J45" i="269" s="1"/>
  <c r="I41" i="269"/>
  <c r="J41" i="269" s="1"/>
  <c r="I40" i="269"/>
  <c r="J40" i="269" s="1"/>
  <c r="I39" i="269"/>
  <c r="J39" i="269" s="1"/>
  <c r="I24" i="269"/>
  <c r="J24" i="269" s="1"/>
  <c r="I21" i="269"/>
  <c r="J21" i="269" s="1"/>
  <c r="I20" i="269"/>
  <c r="J20" i="269" s="1"/>
  <c r="I11" i="269"/>
  <c r="J11" i="269" s="1"/>
  <c r="I13" i="269"/>
  <c r="I15" i="269"/>
  <c r="J15" i="269" s="1"/>
  <c r="I17" i="269"/>
  <c r="J17" i="269" s="1"/>
  <c r="K35" i="269"/>
  <c r="K18" i="269"/>
  <c r="K8" i="269"/>
  <c r="I38" i="269"/>
  <c r="J38" i="269" s="1"/>
  <c r="I23" i="269"/>
  <c r="J23" i="269" s="1"/>
  <c r="I14" i="269"/>
  <c r="J14" i="269" s="1"/>
  <c r="I12" i="269"/>
  <c r="J12" i="269" s="1"/>
  <c r="A46" i="269"/>
  <c r="A47" i="269"/>
  <c r="A48" i="269"/>
  <c r="A49" i="269"/>
  <c r="A45" i="269"/>
  <c r="A37" i="269"/>
  <c r="A38" i="269"/>
  <c r="A39" i="269"/>
  <c r="A40" i="269"/>
  <c r="A41" i="269"/>
  <c r="A42" i="269"/>
  <c r="A43" i="269"/>
  <c r="A10" i="269"/>
  <c r="A11" i="269"/>
  <c r="A12" i="269"/>
  <c r="A13" i="269"/>
  <c r="A14" i="269"/>
  <c r="A15" i="269"/>
  <c r="A16" i="269"/>
  <c r="A17" i="269"/>
  <c r="A21" i="269"/>
  <c r="A22" i="269"/>
  <c r="A23" i="269"/>
  <c r="A24" i="269"/>
  <c r="A25" i="269"/>
  <c r="A27" i="269"/>
  <c r="I55" i="270"/>
  <c r="J55" i="270" s="1"/>
  <c r="I53" i="270"/>
  <c r="J53" i="270" s="1"/>
  <c r="I51" i="270"/>
  <c r="J51" i="270" s="1"/>
  <c r="I49" i="270"/>
  <c r="J49" i="270" s="1"/>
  <c r="I48" i="270"/>
  <c r="J48" i="270" s="1"/>
  <c r="I47" i="270"/>
  <c r="J47" i="270"/>
  <c r="I46" i="270"/>
  <c r="J46" i="270" s="1"/>
  <c r="I45" i="270"/>
  <c r="J45" i="270" s="1"/>
  <c r="I41" i="270"/>
  <c r="J41" i="270" s="1"/>
  <c r="I40" i="270"/>
  <c r="J40" i="270" s="1"/>
  <c r="I39" i="270"/>
  <c r="J39" i="270" s="1"/>
  <c r="I38" i="270"/>
  <c r="J38" i="270" s="1"/>
  <c r="I21" i="270"/>
  <c r="J21" i="270" s="1"/>
  <c r="J20" i="270"/>
  <c r="I20" i="270"/>
  <c r="I25" i="270"/>
  <c r="J25" i="270" s="1"/>
  <c r="I24" i="270"/>
  <c r="J24" i="270" s="1"/>
  <c r="I13" i="270"/>
  <c r="J13" i="270" s="1"/>
  <c r="I11" i="270"/>
  <c r="J11" i="270" s="1"/>
  <c r="K8" i="270"/>
  <c r="I12" i="270"/>
  <c r="J12" i="270" s="1"/>
  <c r="I10" i="270"/>
  <c r="J10" i="270" s="1"/>
  <c r="H37" i="177"/>
  <c r="G45" i="267" s="1"/>
  <c r="I27" i="177"/>
  <c r="J27" i="177" s="1"/>
  <c r="I17" i="177"/>
  <c r="J17" i="177" s="1"/>
  <c r="I12" i="177"/>
  <c r="J12" i="177" s="1"/>
  <c r="H51" i="174"/>
  <c r="H48" i="174"/>
  <c r="H54" i="174"/>
  <c r="G38" i="174"/>
  <c r="F35" i="178"/>
  <c r="G54" i="174"/>
  <c r="K40" i="324"/>
  <c r="K9" i="268" s="1"/>
  <c r="K176" i="324"/>
  <c r="K24" i="268" s="1"/>
  <c r="I235" i="324"/>
  <c r="J235" i="324" s="1"/>
  <c r="I179" i="324"/>
  <c r="J179" i="324" s="1"/>
  <c r="I33" i="324"/>
  <c r="J33" i="324" s="1"/>
  <c r="I56" i="268"/>
  <c r="J56" i="268" s="1"/>
  <c r="I39" i="182"/>
  <c r="J39" i="182" s="1"/>
  <c r="I199" i="323"/>
  <c r="J199" i="323" s="1"/>
  <c r="I32" i="323"/>
  <c r="J32" i="323" s="1"/>
  <c r="D229" i="323"/>
  <c r="K240" i="330"/>
  <c r="K48" i="241" s="1"/>
  <c r="K235" i="330"/>
  <c r="K47" i="241" s="1"/>
  <c r="K230" i="330"/>
  <c r="K189" i="330"/>
  <c r="K38" i="241" s="1"/>
  <c r="K113" i="330"/>
  <c r="K27" i="330"/>
  <c r="K11" i="241" s="1"/>
  <c r="I245" i="330"/>
  <c r="J245" i="330" s="1"/>
  <c r="I233" i="330"/>
  <c r="J233" i="330" s="1"/>
  <c r="H209" i="330"/>
  <c r="H41" i="241" s="1"/>
  <c r="I203" i="330"/>
  <c r="J203" i="330" s="1"/>
  <c r="I184" i="330"/>
  <c r="J184" i="330" s="1"/>
  <c r="I152" i="330"/>
  <c r="J152" i="330" s="1"/>
  <c r="H146" i="330"/>
  <c r="H32" i="241" s="1"/>
  <c r="I135" i="330"/>
  <c r="J135" i="330" s="1"/>
  <c r="I101" i="330"/>
  <c r="J101" i="330" s="1"/>
  <c r="I88" i="330"/>
  <c r="J88" i="330" s="1"/>
  <c r="I60" i="330"/>
  <c r="J60" i="330" s="1"/>
  <c r="I53" i="330"/>
  <c r="J53" i="330" s="1"/>
  <c r="I31" i="330"/>
  <c r="J31" i="330" s="1"/>
  <c r="I17" i="330"/>
  <c r="J17" i="330" s="1"/>
  <c r="I12" i="330"/>
  <c r="J12" i="330" s="1"/>
  <c r="H7" i="330"/>
  <c r="A25" i="238"/>
  <c r="N22" i="238"/>
  <c r="K22" i="238"/>
  <c r="N12" i="238"/>
  <c r="M12" i="238"/>
  <c r="K12" i="238"/>
  <c r="O21" i="238"/>
  <c r="O19" i="238"/>
  <c r="O18" i="238"/>
  <c r="O16" i="238"/>
  <c r="O15" i="238"/>
  <c r="O17" i="238" s="1"/>
  <c r="O11" i="238"/>
  <c r="O10" i="238"/>
  <c r="O9" i="238"/>
  <c r="O8" i="238"/>
  <c r="O7" i="238"/>
  <c r="O6" i="238"/>
  <c r="O5" i="238"/>
  <c r="F7" i="267"/>
  <c r="E7" i="267"/>
  <c r="D7" i="267"/>
  <c r="C7" i="267"/>
  <c r="B7" i="267"/>
  <c r="G22" i="181"/>
  <c r="F22" i="181"/>
  <c r="E22" i="181"/>
  <c r="D22" i="181"/>
  <c r="C22" i="181"/>
  <c r="Q21" i="317"/>
  <c r="P21" i="317"/>
  <c r="O21" i="317"/>
  <c r="M21" i="317"/>
  <c r="L21" i="317"/>
  <c r="K21" i="317"/>
  <c r="J21" i="317"/>
  <c r="I21" i="317"/>
  <c r="H21" i="317"/>
  <c r="G21" i="317"/>
  <c r="F21" i="317"/>
  <c r="E21" i="317"/>
  <c r="D21" i="317"/>
  <c r="C21" i="317"/>
  <c r="G25" i="178"/>
  <c r="F25" i="178"/>
  <c r="F37" i="267" s="1"/>
  <c r="E25" i="178"/>
  <c r="D25" i="178"/>
  <c r="C37" i="267"/>
  <c r="C25" i="178"/>
  <c r="B37" i="267" s="1"/>
  <c r="G22" i="182"/>
  <c r="G53" i="182" s="1"/>
  <c r="F22" i="182"/>
  <c r="F53" i="182" s="1"/>
  <c r="E22" i="182"/>
  <c r="D22" i="182"/>
  <c r="D53" i="182"/>
  <c r="C22" i="182"/>
  <c r="A184" i="330"/>
  <c r="I183" i="330"/>
  <c r="J183" i="330" s="1"/>
  <c r="A183" i="330"/>
  <c r="I62" i="330"/>
  <c r="J62" i="330" s="1"/>
  <c r="I61" i="330"/>
  <c r="J61" i="330" s="1"/>
  <c r="K53" i="333"/>
  <c r="H53" i="333"/>
  <c r="G53" i="333"/>
  <c r="F53" i="333"/>
  <c r="E53" i="333"/>
  <c r="D53" i="333"/>
  <c r="K53" i="335"/>
  <c r="H53" i="335"/>
  <c r="G53" i="335"/>
  <c r="F53" i="335"/>
  <c r="E53" i="335"/>
  <c r="D53" i="335"/>
  <c r="H8" i="335"/>
  <c r="I8" i="335" s="1"/>
  <c r="J8" i="335" s="1"/>
  <c r="G8" i="335"/>
  <c r="F8" i="335"/>
  <c r="E8" i="335"/>
  <c r="D8" i="335"/>
  <c r="K8" i="333"/>
  <c r="G8" i="333"/>
  <c r="F8" i="333"/>
  <c r="E8" i="333"/>
  <c r="D8" i="333"/>
  <c r="K53" i="325"/>
  <c r="H53" i="325"/>
  <c r="G53" i="325"/>
  <c r="F53" i="325"/>
  <c r="E53" i="325"/>
  <c r="D53" i="325"/>
  <c r="K8" i="325"/>
  <c r="H8" i="325"/>
  <c r="G8" i="325"/>
  <c r="F8" i="325"/>
  <c r="E8" i="325"/>
  <c r="D8" i="325"/>
  <c r="K53" i="326"/>
  <c r="H53" i="326"/>
  <c r="G53" i="326"/>
  <c r="I53" i="326" s="1"/>
  <c r="J53" i="326" s="1"/>
  <c r="F53" i="326"/>
  <c r="E53" i="326"/>
  <c r="D53" i="326"/>
  <c r="K8" i="326"/>
  <c r="H8" i="326"/>
  <c r="G8" i="326"/>
  <c r="F8" i="326"/>
  <c r="E8" i="326"/>
  <c r="D8" i="326"/>
  <c r="K53" i="242"/>
  <c r="H53" i="242"/>
  <c r="G53" i="242"/>
  <c r="F53" i="242"/>
  <c r="E53" i="242"/>
  <c r="D53" i="242"/>
  <c r="H8" i="242"/>
  <c r="I8" i="242" s="1"/>
  <c r="J8" i="242" s="1"/>
  <c r="G8" i="242"/>
  <c r="F8" i="242"/>
  <c r="E8" i="242"/>
  <c r="D8" i="242"/>
  <c r="I180" i="330"/>
  <c r="J180" i="330" s="1"/>
  <c r="A180" i="330"/>
  <c r="E100" i="100"/>
  <c r="F100" i="100"/>
  <c r="A168" i="335"/>
  <c r="J165" i="335"/>
  <c r="I164" i="335"/>
  <c r="J164" i="335"/>
  <c r="K163" i="335"/>
  <c r="H163" i="335"/>
  <c r="I163" i="335" s="1"/>
  <c r="J163" i="335"/>
  <c r="G163" i="335"/>
  <c r="F163" i="335"/>
  <c r="E163" i="335"/>
  <c r="D163" i="335"/>
  <c r="C163" i="335"/>
  <c r="I161" i="335"/>
  <c r="J161" i="335" s="1"/>
  <c r="K160" i="335"/>
  <c r="H160" i="335"/>
  <c r="G160" i="335"/>
  <c r="I160" i="335" s="1"/>
  <c r="J160" i="335" s="1"/>
  <c r="F160" i="335"/>
  <c r="E160" i="335"/>
  <c r="D160" i="335"/>
  <c r="C160" i="335"/>
  <c r="K157" i="335"/>
  <c r="G157" i="335"/>
  <c r="F157" i="335"/>
  <c r="E157" i="335"/>
  <c r="D157" i="335"/>
  <c r="C157" i="335"/>
  <c r="I155" i="335"/>
  <c r="J155" i="335" s="1"/>
  <c r="K154" i="335"/>
  <c r="H154" i="335"/>
  <c r="G154" i="335"/>
  <c r="I154" i="335" s="1"/>
  <c r="J154" i="335" s="1"/>
  <c r="F154" i="335"/>
  <c r="E154" i="335"/>
  <c r="D154" i="335"/>
  <c r="C154" i="335"/>
  <c r="J153" i="335"/>
  <c r="I152" i="335"/>
  <c r="J152" i="335" s="1"/>
  <c r="H151" i="335"/>
  <c r="G151" i="335"/>
  <c r="F151" i="335"/>
  <c r="E151" i="335"/>
  <c r="D151" i="335"/>
  <c r="C151" i="335"/>
  <c r="K148" i="335"/>
  <c r="G148" i="335"/>
  <c r="F148" i="335"/>
  <c r="E148" i="335"/>
  <c r="D148" i="335"/>
  <c r="C148" i="335"/>
  <c r="I146" i="335"/>
  <c r="J146" i="335" s="1"/>
  <c r="I145" i="335"/>
  <c r="J145" i="335" s="1"/>
  <c r="I144" i="335"/>
  <c r="J144" i="335" s="1"/>
  <c r="I143" i="335"/>
  <c r="J143" i="335" s="1"/>
  <c r="I142" i="335"/>
  <c r="J142" i="335" s="1"/>
  <c r="I141" i="335"/>
  <c r="J141" i="335" s="1"/>
  <c r="K140" i="335"/>
  <c r="H140" i="335"/>
  <c r="G140" i="335"/>
  <c r="F140" i="335"/>
  <c r="F138" i="335"/>
  <c r="E140" i="335"/>
  <c r="E138" i="335"/>
  <c r="D140" i="335"/>
  <c r="D138" i="335"/>
  <c r="C140" i="335"/>
  <c r="I139" i="335"/>
  <c r="J139" i="335" s="1"/>
  <c r="K138" i="335"/>
  <c r="C138" i="335"/>
  <c r="J137" i="335"/>
  <c r="I136" i="335"/>
  <c r="J136" i="335" s="1"/>
  <c r="K135" i="335"/>
  <c r="H135" i="335"/>
  <c r="G135" i="335"/>
  <c r="F135" i="335"/>
  <c r="E135" i="335"/>
  <c r="D135" i="335"/>
  <c r="C135" i="335"/>
  <c r="J134" i="335"/>
  <c r="I133" i="335"/>
  <c r="J133" i="335" s="1"/>
  <c r="I132" i="335"/>
  <c r="J132" i="335" s="1"/>
  <c r="I131" i="335"/>
  <c r="J131" i="335" s="1"/>
  <c r="K130" i="335"/>
  <c r="K117" i="335" s="1"/>
  <c r="H130" i="335"/>
  <c r="G130" i="335"/>
  <c r="F130" i="335"/>
  <c r="E130" i="335"/>
  <c r="D130" i="335"/>
  <c r="C130" i="335"/>
  <c r="I129" i="335"/>
  <c r="J129" i="335"/>
  <c r="I128" i="335"/>
  <c r="J128" i="335" s="1"/>
  <c r="I127" i="335"/>
  <c r="J127" i="335"/>
  <c r="I126" i="335"/>
  <c r="J126" i="335" s="1"/>
  <c r="I125" i="335"/>
  <c r="J125" i="335"/>
  <c r="I124" i="335"/>
  <c r="J124" i="335" s="1"/>
  <c r="I123" i="335"/>
  <c r="J123" i="335"/>
  <c r="I122" i="335"/>
  <c r="J122" i="335" s="1"/>
  <c r="I121" i="335"/>
  <c r="J121" i="335"/>
  <c r="I120" i="335"/>
  <c r="J120" i="335" s="1"/>
  <c r="I119" i="335"/>
  <c r="J119" i="335"/>
  <c r="K118" i="335"/>
  <c r="H118" i="335"/>
  <c r="H117" i="335"/>
  <c r="G118" i="335"/>
  <c r="F118" i="335"/>
  <c r="F117" i="335" s="1"/>
  <c r="E118" i="335"/>
  <c r="E117" i="335" s="1"/>
  <c r="D118" i="335"/>
  <c r="C118" i="335"/>
  <c r="C117" i="335" s="1"/>
  <c r="D117" i="335"/>
  <c r="I116" i="335"/>
  <c r="J116" i="335" s="1"/>
  <c r="J115" i="335"/>
  <c r="I115" i="335"/>
  <c r="K114" i="335"/>
  <c r="H114" i="335"/>
  <c r="I114" i="335" s="1"/>
  <c r="J114" i="335" s="1"/>
  <c r="G114" i="335"/>
  <c r="F114" i="335"/>
  <c r="E114" i="335"/>
  <c r="D114" i="335"/>
  <c r="C114" i="335"/>
  <c r="I113" i="335"/>
  <c r="J113" i="335" s="1"/>
  <c r="I112" i="335"/>
  <c r="J112" i="335"/>
  <c r="K111" i="335"/>
  <c r="K110" i="335"/>
  <c r="H111" i="335"/>
  <c r="G111" i="335"/>
  <c r="I111" i="335" s="1"/>
  <c r="J111" i="335" s="1"/>
  <c r="F111" i="335"/>
  <c r="F110" i="335"/>
  <c r="E111" i="335"/>
  <c r="E110" i="335"/>
  <c r="D111" i="335"/>
  <c r="D110" i="335"/>
  <c r="C111" i="335"/>
  <c r="C110" i="335"/>
  <c r="H110" i="335"/>
  <c r="I109" i="335"/>
  <c r="J109" i="335" s="1"/>
  <c r="I108" i="335"/>
  <c r="J108" i="335" s="1"/>
  <c r="I107" i="335"/>
  <c r="J107" i="335"/>
  <c r="I106" i="335"/>
  <c r="J106" i="335"/>
  <c r="I105" i="335"/>
  <c r="J105" i="335"/>
  <c r="I104" i="335"/>
  <c r="J104" i="335"/>
  <c r="H103" i="335"/>
  <c r="G103" i="335"/>
  <c r="F103" i="335"/>
  <c r="E103" i="335"/>
  <c r="D103" i="335"/>
  <c r="C103" i="335"/>
  <c r="I102" i="335"/>
  <c r="J102" i="335" s="1"/>
  <c r="J101" i="335"/>
  <c r="I101" i="335"/>
  <c r="I100" i="335"/>
  <c r="J100" i="335" s="1"/>
  <c r="K99" i="335"/>
  <c r="H99" i="335"/>
  <c r="G99" i="335"/>
  <c r="F99" i="335"/>
  <c r="E99" i="335"/>
  <c r="D99" i="335"/>
  <c r="C99" i="335"/>
  <c r="I98" i="335"/>
  <c r="J98" i="335" s="1"/>
  <c r="I97" i="335"/>
  <c r="J97" i="335"/>
  <c r="I96" i="335"/>
  <c r="J96" i="335" s="1"/>
  <c r="I95" i="335"/>
  <c r="J95" i="335"/>
  <c r="I94" i="335"/>
  <c r="J94" i="335" s="1"/>
  <c r="I93" i="335"/>
  <c r="J93" i="335"/>
  <c r="I92" i="335"/>
  <c r="J92" i="335" s="1"/>
  <c r="I91" i="335"/>
  <c r="J91" i="335"/>
  <c r="I90" i="335"/>
  <c r="J90" i="335" s="1"/>
  <c r="I89" i="335"/>
  <c r="J89" i="335"/>
  <c r="I88" i="335"/>
  <c r="J88" i="335" s="1"/>
  <c r="I87" i="335"/>
  <c r="J87" i="335"/>
  <c r="I86" i="335"/>
  <c r="J86" i="335" s="1"/>
  <c r="I85" i="335"/>
  <c r="J85" i="335"/>
  <c r="I84" i="335"/>
  <c r="J84" i="335" s="1"/>
  <c r="I83" i="335"/>
  <c r="J83" i="335"/>
  <c r="I82" i="335"/>
  <c r="J82" i="335" s="1"/>
  <c r="I81" i="335"/>
  <c r="J81" i="335"/>
  <c r="I80" i="335"/>
  <c r="J80" i="335" s="1"/>
  <c r="I79" i="335"/>
  <c r="J79" i="335"/>
  <c r="I78" i="335"/>
  <c r="J78" i="335" s="1"/>
  <c r="I77" i="335"/>
  <c r="J77" i="335"/>
  <c r="K76" i="335"/>
  <c r="K75" i="335"/>
  <c r="H76" i="335"/>
  <c r="I76" i="335"/>
  <c r="J76" i="335" s="1"/>
  <c r="G76" i="335"/>
  <c r="G75" i="335" s="1"/>
  <c r="F76" i="335"/>
  <c r="F75" i="335" s="1"/>
  <c r="E76" i="335"/>
  <c r="E75" i="335" s="1"/>
  <c r="D76" i="335"/>
  <c r="D75" i="335" s="1"/>
  <c r="C76" i="335"/>
  <c r="C75" i="335" s="1"/>
  <c r="J74" i="335"/>
  <c r="I73" i="335"/>
  <c r="J73" i="335"/>
  <c r="I72" i="335"/>
  <c r="J72" i="335"/>
  <c r="I71" i="335"/>
  <c r="J71" i="335"/>
  <c r="I70" i="335"/>
  <c r="J70" i="335"/>
  <c r="K69" i="335"/>
  <c r="H69" i="335"/>
  <c r="I69" i="335" s="1"/>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c r="I60" i="335"/>
  <c r="J60" i="335" s="1"/>
  <c r="I59" i="335"/>
  <c r="J59" i="335"/>
  <c r="I58" i="335"/>
  <c r="J58" i="335" s="1"/>
  <c r="I57" i="335"/>
  <c r="J57" i="335"/>
  <c r="I56" i="335"/>
  <c r="J56" i="335" s="1"/>
  <c r="I55" i="335"/>
  <c r="J55" i="335"/>
  <c r="I54" i="335"/>
  <c r="J54" i="335" s="1"/>
  <c r="C53" i="335"/>
  <c r="I52" i="335"/>
  <c r="J52" i="335" s="1"/>
  <c r="I51" i="335"/>
  <c r="J51" i="335" s="1"/>
  <c r="I50" i="335"/>
  <c r="J50" i="335" s="1"/>
  <c r="I49" i="335"/>
  <c r="J49" i="335" s="1"/>
  <c r="I48" i="335"/>
  <c r="J48" i="335" s="1"/>
  <c r="I47" i="335"/>
  <c r="J47" i="335" s="1"/>
  <c r="I46" i="335"/>
  <c r="J46" i="335" s="1"/>
  <c r="K45" i="335"/>
  <c r="H45" i="335"/>
  <c r="I45" i="335" s="1"/>
  <c r="J45" i="335" s="1"/>
  <c r="G45" i="335"/>
  <c r="F45" i="335"/>
  <c r="E45" i="335"/>
  <c r="D45" i="335"/>
  <c r="C45" i="335"/>
  <c r="I44" i="335"/>
  <c r="J44" i="335" s="1"/>
  <c r="J43" i="335"/>
  <c r="I43" i="335"/>
  <c r="I42" i="335"/>
  <c r="J42" i="335" s="1"/>
  <c r="J41" i="335"/>
  <c r="I41" i="335"/>
  <c r="I40" i="335"/>
  <c r="J40" i="335" s="1"/>
  <c r="J39" i="335"/>
  <c r="I39" i="335"/>
  <c r="K38" i="335"/>
  <c r="H38" i="335"/>
  <c r="I38" i="335"/>
  <c r="J38" i="335" s="1"/>
  <c r="G38" i="335"/>
  <c r="F38" i="335"/>
  <c r="E38" i="335"/>
  <c r="D38" i="335"/>
  <c r="C38" i="335"/>
  <c r="I37" i="335"/>
  <c r="J37" i="335"/>
  <c r="I36" i="335"/>
  <c r="J36" i="335"/>
  <c r="I35" i="335"/>
  <c r="J35" i="335"/>
  <c r="I34" i="335"/>
  <c r="J34" i="335"/>
  <c r="I33" i="335"/>
  <c r="J33" i="335"/>
  <c r="I32" i="335"/>
  <c r="J32" i="335"/>
  <c r="I31" i="335"/>
  <c r="J31" i="335"/>
  <c r="I30" i="335"/>
  <c r="J30" i="335" s="1"/>
  <c r="I29" i="335"/>
  <c r="J29" i="335" s="1"/>
  <c r="I28" i="335"/>
  <c r="J28" i="335" s="1"/>
  <c r="K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I17" i="335" s="1"/>
  <c r="J17" i="335" s="1"/>
  <c r="G17" i="335"/>
  <c r="F17" i="335"/>
  <c r="E17" i="335"/>
  <c r="D17" i="335"/>
  <c r="C17" i="335"/>
  <c r="I16" i="335"/>
  <c r="J16" i="335" s="1"/>
  <c r="I15" i="335"/>
  <c r="J15" i="335" s="1"/>
  <c r="I14" i="335"/>
  <c r="J14" i="335" s="1"/>
  <c r="K13" i="335"/>
  <c r="H13" i="335"/>
  <c r="I13" i="335"/>
  <c r="J13" i="335" s="1"/>
  <c r="G13" i="335"/>
  <c r="F13" i="335"/>
  <c r="E13" i="335"/>
  <c r="D13" i="335"/>
  <c r="C13" i="335"/>
  <c r="I12" i="335"/>
  <c r="J12" i="335"/>
  <c r="I11" i="335"/>
  <c r="J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s="1"/>
  <c r="K160" i="333"/>
  <c r="H160" i="333"/>
  <c r="I160" i="333"/>
  <c r="G160" i="333"/>
  <c r="F160" i="333"/>
  <c r="E160" i="333"/>
  <c r="D160" i="333"/>
  <c r="C160" i="333"/>
  <c r="I158" i="333"/>
  <c r="J158" i="333" s="1"/>
  <c r="K157" i="333"/>
  <c r="H157" i="333"/>
  <c r="G157" i="333"/>
  <c r="F157" i="333"/>
  <c r="E157" i="333"/>
  <c r="D157" i="333"/>
  <c r="C157" i="333"/>
  <c r="K154" i="333"/>
  <c r="G154" i="333"/>
  <c r="F154" i="333"/>
  <c r="E154" i="333"/>
  <c r="D154" i="333"/>
  <c r="C154" i="333"/>
  <c r="J153" i="333"/>
  <c r="I152" i="333"/>
  <c r="J152" i="333" s="1"/>
  <c r="K151" i="333"/>
  <c r="H151" i="333"/>
  <c r="G151" i="333"/>
  <c r="F151" i="333"/>
  <c r="E151" i="333"/>
  <c r="D151" i="333"/>
  <c r="C151" i="333"/>
  <c r="I149" i="333"/>
  <c r="J149" i="333" s="1"/>
  <c r="K148" i="333"/>
  <c r="G148" i="333"/>
  <c r="F148" i="333"/>
  <c r="E148" i="333"/>
  <c r="D148" i="333"/>
  <c r="C148" i="333"/>
  <c r="I146" i="333"/>
  <c r="J146" i="333" s="1"/>
  <c r="I145" i="333"/>
  <c r="J145" i="333" s="1"/>
  <c r="I143" i="333"/>
  <c r="J143" i="333" s="1"/>
  <c r="I142" i="333"/>
  <c r="J142" i="333" s="1"/>
  <c r="I141" i="333"/>
  <c r="J141" i="333" s="1"/>
  <c r="K140" i="333"/>
  <c r="K138" i="333" s="1"/>
  <c r="H140" i="333"/>
  <c r="H138" i="333" s="1"/>
  <c r="G140" i="333"/>
  <c r="F140" i="333"/>
  <c r="F138" i="333" s="1"/>
  <c r="E140" i="333"/>
  <c r="E138" i="333"/>
  <c r="D140" i="333"/>
  <c r="D138" i="333"/>
  <c r="C140" i="333"/>
  <c r="C138" i="333"/>
  <c r="I139" i="333"/>
  <c r="J139" i="333"/>
  <c r="J137" i="333"/>
  <c r="I136" i="333"/>
  <c r="J136" i="333" s="1"/>
  <c r="K135" i="333"/>
  <c r="H135" i="333"/>
  <c r="G135" i="333"/>
  <c r="I135" i="333" s="1"/>
  <c r="J135" i="333" s="1"/>
  <c r="F135" i="333"/>
  <c r="E135" i="333"/>
  <c r="D135" i="333"/>
  <c r="C135" i="333"/>
  <c r="J134" i="333"/>
  <c r="I133" i="333"/>
  <c r="J133" i="333" s="1"/>
  <c r="I132" i="333"/>
  <c r="J132" i="333" s="1"/>
  <c r="I131" i="333"/>
  <c r="J131" i="333" s="1"/>
  <c r="K130" i="333"/>
  <c r="H130" i="333"/>
  <c r="G130" i="333"/>
  <c r="F130" i="333"/>
  <c r="E130" i="333"/>
  <c r="D130" i="333"/>
  <c r="C130" i="333"/>
  <c r="I129" i="333"/>
  <c r="J129" i="333"/>
  <c r="I128" i="333"/>
  <c r="J128" i="333"/>
  <c r="I127" i="333"/>
  <c r="J127" i="333"/>
  <c r="I126" i="333"/>
  <c r="J126" i="333"/>
  <c r="I125" i="333"/>
  <c r="J125" i="333"/>
  <c r="I124" i="333"/>
  <c r="J124" i="333" s="1"/>
  <c r="I123" i="333"/>
  <c r="J123" i="333" s="1"/>
  <c r="I122" i="333"/>
  <c r="J122" i="333" s="1"/>
  <c r="I121" i="333"/>
  <c r="J121" i="333" s="1"/>
  <c r="I120" i="333"/>
  <c r="J120" i="333" s="1"/>
  <c r="K118" i="333"/>
  <c r="K117" i="333"/>
  <c r="G118" i="333"/>
  <c r="F118" i="333"/>
  <c r="E118" i="333"/>
  <c r="D118" i="333"/>
  <c r="C118" i="333"/>
  <c r="I116" i="333"/>
  <c r="J116" i="333" s="1"/>
  <c r="I115" i="333"/>
  <c r="J115" i="333" s="1"/>
  <c r="K114" i="333"/>
  <c r="K110" i="333" s="1"/>
  <c r="H114" i="333"/>
  <c r="I114" i="333"/>
  <c r="J114" i="333" s="1"/>
  <c r="G114" i="333"/>
  <c r="F114" i="333"/>
  <c r="E114" i="333"/>
  <c r="D114" i="333"/>
  <c r="C114" i="333"/>
  <c r="I113" i="333"/>
  <c r="J113" i="333"/>
  <c r="I112" i="333"/>
  <c r="J112" i="333"/>
  <c r="K111" i="333"/>
  <c r="H111" i="333"/>
  <c r="G111" i="333"/>
  <c r="G110" i="333" s="1"/>
  <c r="F111" i="333"/>
  <c r="E111" i="333"/>
  <c r="E110" i="333"/>
  <c r="D111" i="333"/>
  <c r="D110" i="333"/>
  <c r="C111" i="333"/>
  <c r="C110" i="333"/>
  <c r="I109" i="333"/>
  <c r="J109" i="333"/>
  <c r="I108" i="333"/>
  <c r="J108" i="333"/>
  <c r="I107" i="333"/>
  <c r="J107" i="333"/>
  <c r="I106" i="333"/>
  <c r="J106" i="333"/>
  <c r="I105" i="333"/>
  <c r="J105" i="333"/>
  <c r="I104" i="333"/>
  <c r="J104" i="333"/>
  <c r="K103" i="333"/>
  <c r="H103" i="333"/>
  <c r="G103" i="333"/>
  <c r="I103" i="333"/>
  <c r="J103" i="333" s="1"/>
  <c r="F103" i="333"/>
  <c r="E103" i="333"/>
  <c r="D103" i="333"/>
  <c r="C103" i="333"/>
  <c r="I102" i="333"/>
  <c r="J102" i="333" s="1"/>
  <c r="I101" i="333"/>
  <c r="J101" i="333" s="1"/>
  <c r="I100" i="333"/>
  <c r="J100" i="333"/>
  <c r="K99" i="333"/>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K76" i="333"/>
  <c r="H76" i="333"/>
  <c r="G76" i="333"/>
  <c r="F76" i="333"/>
  <c r="E76" i="333"/>
  <c r="D76" i="333"/>
  <c r="D75" i="333"/>
  <c r="C76" i="333"/>
  <c r="J74" i="333"/>
  <c r="I73" i="333"/>
  <c r="J73" i="333"/>
  <c r="I72" i="333"/>
  <c r="J72" i="333"/>
  <c r="I71" i="333"/>
  <c r="J71" i="333"/>
  <c r="I70" i="333"/>
  <c r="J70" i="333"/>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c r="I61" i="333"/>
  <c r="J61" i="333"/>
  <c r="I60" i="333"/>
  <c r="J60" i="333"/>
  <c r="I59" i="333"/>
  <c r="J59" i="333"/>
  <c r="I58" i="333"/>
  <c r="J58" i="333"/>
  <c r="I57" i="333"/>
  <c r="J57" i="333"/>
  <c r="I56" i="333"/>
  <c r="J56" i="333"/>
  <c r="I55" i="333"/>
  <c r="J55" i="333"/>
  <c r="I54" i="333"/>
  <c r="J54" i="333" s="1"/>
  <c r="C53" i="333"/>
  <c r="I52" i="333"/>
  <c r="J52" i="333"/>
  <c r="I51" i="333"/>
  <c r="J51" i="333"/>
  <c r="I50" i="333"/>
  <c r="J50" i="333"/>
  <c r="I49" i="333"/>
  <c r="J49" i="333"/>
  <c r="I48" i="333"/>
  <c r="J48" i="333"/>
  <c r="I47" i="333"/>
  <c r="J47" i="333"/>
  <c r="I46" i="333"/>
  <c r="J46" i="333" s="1"/>
  <c r="K45" i="333"/>
  <c r="H45" i="333"/>
  <c r="G45" i="333"/>
  <c r="F45" i="333"/>
  <c r="E45" i="333"/>
  <c r="D45" i="333"/>
  <c r="C45" i="333"/>
  <c r="I44" i="333"/>
  <c r="J44" i="333"/>
  <c r="I43" i="333"/>
  <c r="J43" i="333"/>
  <c r="I42" i="333"/>
  <c r="J42" i="333"/>
  <c r="I41" i="333"/>
  <c r="J41" i="333"/>
  <c r="I40" i="333"/>
  <c r="J40" i="333" s="1"/>
  <c r="I39" i="333"/>
  <c r="J39" i="333" s="1"/>
  <c r="K38" i="333"/>
  <c r="H38" i="333"/>
  <c r="G38" i="333"/>
  <c r="F38" i="333"/>
  <c r="E38" i="333"/>
  <c r="D38" i="333"/>
  <c r="C38" i="333"/>
  <c r="I37" i="333"/>
  <c r="J37" i="333"/>
  <c r="I36" i="333"/>
  <c r="J36" i="333"/>
  <c r="I35" i="333"/>
  <c r="J35" i="333"/>
  <c r="I34" i="333"/>
  <c r="J34" i="333"/>
  <c r="I33" i="333"/>
  <c r="J33" i="333" s="1"/>
  <c r="I32" i="333"/>
  <c r="J32" i="333"/>
  <c r="I31" i="333"/>
  <c r="J31" i="333"/>
  <c r="I30" i="333"/>
  <c r="J30" i="333" s="1"/>
  <c r="I29" i="333"/>
  <c r="J29" i="333" s="1"/>
  <c r="I28" i="333"/>
  <c r="J28" i="333" s="1"/>
  <c r="H27" i="333"/>
  <c r="G27" i="333"/>
  <c r="F27" i="333"/>
  <c r="E27" i="333"/>
  <c r="D27" i="333"/>
  <c r="C27" i="333"/>
  <c r="I26" i="333"/>
  <c r="J26" i="333" s="1"/>
  <c r="I25" i="333"/>
  <c r="J25" i="333" s="1"/>
  <c r="I24" i="333"/>
  <c r="J24" i="333" s="1"/>
  <c r="I23" i="333"/>
  <c r="J23" i="333" s="1"/>
  <c r="I22" i="333"/>
  <c r="J22" i="333" s="1"/>
  <c r="I21" i="333"/>
  <c r="J21" i="333" s="1"/>
  <c r="I18" i="333"/>
  <c r="J18" i="333"/>
  <c r="G17" i="333"/>
  <c r="F17" i="333"/>
  <c r="E17" i="333"/>
  <c r="D17" i="333"/>
  <c r="C17" i="333"/>
  <c r="I16" i="333"/>
  <c r="J16" i="333" s="1"/>
  <c r="I15" i="333"/>
  <c r="J15" i="333" s="1"/>
  <c r="I14" i="333"/>
  <c r="J14" i="333" s="1"/>
  <c r="K13" i="333"/>
  <c r="H13" i="333"/>
  <c r="G13" i="333"/>
  <c r="I13" i="333" s="1"/>
  <c r="J13" i="333"/>
  <c r="F13" i="333"/>
  <c r="E13" i="333"/>
  <c r="D13" i="333"/>
  <c r="C13" i="333"/>
  <c r="I12" i="333"/>
  <c r="J12" i="333"/>
  <c r="I11" i="333"/>
  <c r="J11" i="333"/>
  <c r="I10" i="333"/>
  <c r="J10" i="333"/>
  <c r="I9" i="333"/>
  <c r="J9" i="333" s="1"/>
  <c r="C8" i="333"/>
  <c r="J165" i="325"/>
  <c r="I164" i="325"/>
  <c r="J164" i="325" s="1"/>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D151" i="325"/>
  <c r="C151" i="325"/>
  <c r="I149" i="325"/>
  <c r="J149" i="325"/>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c r="F140" i="325"/>
  <c r="F138" i="325"/>
  <c r="E140" i="325"/>
  <c r="E138" i="325"/>
  <c r="D140" i="325"/>
  <c r="D138" i="325"/>
  <c r="C140" i="325"/>
  <c r="C138" i="325"/>
  <c r="I139" i="325"/>
  <c r="J139" i="325"/>
  <c r="J137" i="325"/>
  <c r="I136" i="325"/>
  <c r="J136" i="325"/>
  <c r="K135" i="325"/>
  <c r="H135" i="325"/>
  <c r="G135" i="325"/>
  <c r="F135" i="325"/>
  <c r="E135" i="325"/>
  <c r="D135" i="325"/>
  <c r="C135" i="325"/>
  <c r="J134" i="325"/>
  <c r="I133" i="325"/>
  <c r="J133" i="325"/>
  <c r="I132" i="325"/>
  <c r="J132" i="325"/>
  <c r="I131" i="325"/>
  <c r="J131" i="325"/>
  <c r="K130" i="325"/>
  <c r="H130" i="325"/>
  <c r="I130" i="325" s="1"/>
  <c r="J130" i="325" s="1"/>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K117" i="325"/>
  <c r="H118" i="325"/>
  <c r="G118" i="325"/>
  <c r="G117" i="325" s="1"/>
  <c r="F118" i="325"/>
  <c r="E118" i="325"/>
  <c r="E117" i="325" s="1"/>
  <c r="D118" i="325"/>
  <c r="C118" i="325"/>
  <c r="I116" i="325"/>
  <c r="J116" i="325"/>
  <c r="I115" i="325"/>
  <c r="J115" i="325"/>
  <c r="K114" i="325"/>
  <c r="H114" i="325"/>
  <c r="G114" i="325"/>
  <c r="F114" i="325"/>
  <c r="E114" i="325"/>
  <c r="D114" i="325"/>
  <c r="C114" i="325"/>
  <c r="I113" i="325"/>
  <c r="J113" i="325" s="1"/>
  <c r="I112" i="325"/>
  <c r="J112" i="325" s="1"/>
  <c r="K111" i="325"/>
  <c r="H111" i="325"/>
  <c r="G111" i="325"/>
  <c r="G110" i="325" s="1"/>
  <c r="F111" i="325"/>
  <c r="F110" i="325" s="1"/>
  <c r="E111" i="325"/>
  <c r="D111" i="325"/>
  <c r="D110" i="325" s="1"/>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s="1"/>
  <c r="I101" i="325"/>
  <c r="J101" i="325" s="1"/>
  <c r="I100" i="325"/>
  <c r="J100" i="325" s="1"/>
  <c r="K99" i="325"/>
  <c r="H99" i="325"/>
  <c r="G99" i="325"/>
  <c r="F99" i="325"/>
  <c r="E99" i="325"/>
  <c r="D99" i="325"/>
  <c r="C99" i="325"/>
  <c r="I98" i="325"/>
  <c r="J98" i="325"/>
  <c r="I97" i="325"/>
  <c r="J97" i="325"/>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G75" i="325"/>
  <c r="F76" i="325"/>
  <c r="F75" i="325"/>
  <c r="E76" i="325"/>
  <c r="E75" i="325"/>
  <c r="D76" i="325"/>
  <c r="D75" i="325"/>
  <c r="C76" i="325"/>
  <c r="J74" i="325"/>
  <c r="I73" i="325"/>
  <c r="J73" i="325"/>
  <c r="I72" i="325"/>
  <c r="J72" i="325"/>
  <c r="I71" i="325"/>
  <c r="J71" i="325"/>
  <c r="I70" i="325"/>
  <c r="J70" i="325"/>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s="1"/>
  <c r="I51" i="325"/>
  <c r="J51" i="325" s="1"/>
  <c r="I50" i="325"/>
  <c r="J50" i="325" s="1"/>
  <c r="I49" i="325"/>
  <c r="J49" i="325" s="1"/>
  <c r="I48" i="325"/>
  <c r="J48" i="325" s="1"/>
  <c r="I47" i="325"/>
  <c r="J47" i="325" s="1"/>
  <c r="I46" i="325"/>
  <c r="J46" i="325" s="1"/>
  <c r="K45" i="325"/>
  <c r="H45" i="325"/>
  <c r="G45" i="325"/>
  <c r="I45" i="325" s="1"/>
  <c r="F45" i="325"/>
  <c r="E45" i="325"/>
  <c r="D45" i="325"/>
  <c r="C45" i="325"/>
  <c r="I44" i="325"/>
  <c r="J44" i="325" s="1"/>
  <c r="I43" i="325"/>
  <c r="J43" i="325" s="1"/>
  <c r="J42" i="325"/>
  <c r="I42" i="325"/>
  <c r="I41" i="325"/>
  <c r="J41" i="325" s="1"/>
  <c r="I40" i="325"/>
  <c r="J40" i="325" s="1"/>
  <c r="I39" i="325"/>
  <c r="J39" i="325" s="1"/>
  <c r="K38" i="325"/>
  <c r="H38" i="325"/>
  <c r="G38" i="325"/>
  <c r="I38" i="325" s="1"/>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I27" i="325" s="1"/>
  <c r="G27" i="325"/>
  <c r="F27" i="325"/>
  <c r="E27" i="325"/>
  <c r="D27" i="325"/>
  <c r="D7" i="325" s="1"/>
  <c r="C27" i="325"/>
  <c r="I26" i="325"/>
  <c r="J26" i="325" s="1"/>
  <c r="I25" i="325"/>
  <c r="J25" i="325" s="1"/>
  <c r="I24" i="325"/>
  <c r="J24" i="325" s="1"/>
  <c r="I23" i="325"/>
  <c r="J23" i="325" s="1"/>
  <c r="I22" i="325"/>
  <c r="J22" i="325" s="1"/>
  <c r="I21" i="325"/>
  <c r="J21" i="325"/>
  <c r="I20" i="325"/>
  <c r="J20" i="325" s="1"/>
  <c r="I19" i="325"/>
  <c r="J19" i="325" s="1"/>
  <c r="I18" i="325"/>
  <c r="J18" i="325"/>
  <c r="H17" i="325"/>
  <c r="G17" i="325"/>
  <c r="F17" i="325"/>
  <c r="E17" i="325"/>
  <c r="D17" i="325"/>
  <c r="C17" i="325"/>
  <c r="I16" i="325"/>
  <c r="J16" i="325" s="1"/>
  <c r="I15" i="325"/>
  <c r="J15" i="325" s="1"/>
  <c r="I14" i="325"/>
  <c r="J14" i="325" s="1"/>
  <c r="K13" i="325"/>
  <c r="H13" i="325"/>
  <c r="G13" i="325"/>
  <c r="F13" i="325"/>
  <c r="E13" i="325"/>
  <c r="D13" i="325"/>
  <c r="C13" i="325"/>
  <c r="C7" i="325" s="1"/>
  <c r="I12" i="325"/>
  <c r="J12" i="325"/>
  <c r="I11" i="325"/>
  <c r="J11" i="325"/>
  <c r="I10" i="325"/>
  <c r="J10" i="325"/>
  <c r="I9" i="325"/>
  <c r="J9" i="325"/>
  <c r="C8" i="325"/>
  <c r="J165" i="326"/>
  <c r="I164" i="326"/>
  <c r="J164" i="326"/>
  <c r="K163" i="326"/>
  <c r="H163" i="326"/>
  <c r="G163" i="326"/>
  <c r="I163" i="326"/>
  <c r="F163" i="326"/>
  <c r="E163" i="326"/>
  <c r="D163" i="326"/>
  <c r="C163" i="326"/>
  <c r="I161" i="326"/>
  <c r="J161" i="326"/>
  <c r="K160" i="326"/>
  <c r="H160" i="326"/>
  <c r="I160" i="326" s="1"/>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K151" i="326"/>
  <c r="G151" i="326"/>
  <c r="F151" i="326"/>
  <c r="E151" i="326"/>
  <c r="D151" i="326"/>
  <c r="C151" i="326"/>
  <c r="I149" i="326"/>
  <c r="J149" i="326" s="1"/>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F140" i="326"/>
  <c r="F138" i="326" s="1"/>
  <c r="E140" i="326"/>
  <c r="E138" i="326" s="1"/>
  <c r="D140" i="326"/>
  <c r="D138" i="326" s="1"/>
  <c r="C140" i="326"/>
  <c r="C138" i="326" s="1"/>
  <c r="I139" i="326"/>
  <c r="J139" i="326" s="1"/>
  <c r="J137" i="326"/>
  <c r="I136" i="326"/>
  <c r="J136" i="326"/>
  <c r="K135" i="326"/>
  <c r="H135" i="326"/>
  <c r="I135" i="326" s="1"/>
  <c r="G135" i="326"/>
  <c r="F135" i="326"/>
  <c r="E135" i="326"/>
  <c r="D135" i="326"/>
  <c r="C135" i="326"/>
  <c r="J134" i="326"/>
  <c r="I133" i="326"/>
  <c r="J133" i="326"/>
  <c r="I132" i="326"/>
  <c r="J132" i="326"/>
  <c r="I131" i="326"/>
  <c r="J131" i="326"/>
  <c r="K130" i="326"/>
  <c r="H130" i="326"/>
  <c r="I130" i="326" s="1"/>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s="1"/>
  <c r="I115" i="326"/>
  <c r="J115" i="326" s="1"/>
  <c r="K114" i="326"/>
  <c r="H114" i="326"/>
  <c r="G114" i="326"/>
  <c r="F114" i="326"/>
  <c r="E114" i="326"/>
  <c r="D114" i="326"/>
  <c r="C114" i="326"/>
  <c r="I113" i="326"/>
  <c r="J113" i="326"/>
  <c r="I112" i="326"/>
  <c r="J112" i="326"/>
  <c r="K111" i="326"/>
  <c r="H111" i="326"/>
  <c r="G111" i="326"/>
  <c r="F111" i="326"/>
  <c r="E111" i="326"/>
  <c r="D111" i="326"/>
  <c r="C111" i="326"/>
  <c r="I109" i="326"/>
  <c r="J109" i="326" s="1"/>
  <c r="I108" i="326"/>
  <c r="J108" i="326" s="1"/>
  <c r="I107" i="326"/>
  <c r="J107" i="326"/>
  <c r="I106" i="326"/>
  <c r="J106" i="326"/>
  <c r="I105" i="326"/>
  <c r="J105" i="326"/>
  <c r="I104" i="326"/>
  <c r="J104" i="326"/>
  <c r="K103" i="326"/>
  <c r="H103" i="326"/>
  <c r="I103" i="326" s="1"/>
  <c r="J103" i="326" s="1"/>
  <c r="G103" i="326"/>
  <c r="F103" i="326"/>
  <c r="E103" i="326"/>
  <c r="D103" i="326"/>
  <c r="C103" i="326"/>
  <c r="I102" i="326"/>
  <c r="J102" i="326" s="1"/>
  <c r="I101" i="326"/>
  <c r="J101" i="326" s="1"/>
  <c r="I100" i="326"/>
  <c r="J100" i="326" s="1"/>
  <c r="K99" i="326"/>
  <c r="H99" i="326"/>
  <c r="G99" i="326"/>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K75" i="326" s="1"/>
  <c r="H76" i="326"/>
  <c r="G76" i="326"/>
  <c r="F76" i="326"/>
  <c r="F75" i="326" s="1"/>
  <c r="E76" i="326"/>
  <c r="D76" i="326"/>
  <c r="D75" i="326" s="1"/>
  <c r="C76" i="326"/>
  <c r="J74" i="326"/>
  <c r="I73" i="326"/>
  <c r="J73" i="326" s="1"/>
  <c r="I72" i="326"/>
  <c r="J72" i="326" s="1"/>
  <c r="I71" i="326"/>
  <c r="J71" i="326" s="1"/>
  <c r="I70" i="326"/>
  <c r="J70" i="326" s="1"/>
  <c r="K69" i="326"/>
  <c r="H69" i="326"/>
  <c r="G69" i="326"/>
  <c r="F69" i="326"/>
  <c r="E69" i="326"/>
  <c r="D69" i="326"/>
  <c r="C69" i="326"/>
  <c r="I68" i="326"/>
  <c r="J68" i="326"/>
  <c r="I67" i="326"/>
  <c r="J67" i="326"/>
  <c r="I66" i="326"/>
  <c r="J66" i="326"/>
  <c r="I65" i="326"/>
  <c r="J65" i="326"/>
  <c r="I64" i="326"/>
  <c r="J64" i="326"/>
  <c r="K63" i="326"/>
  <c r="H63" i="326"/>
  <c r="G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s="1"/>
  <c r="I51" i="326"/>
  <c r="J51" i="326" s="1"/>
  <c r="I50" i="326"/>
  <c r="J50" i="326" s="1"/>
  <c r="I49" i="326"/>
  <c r="J49" i="326" s="1"/>
  <c r="I48" i="326"/>
  <c r="J48" i="326" s="1"/>
  <c r="I47" i="326"/>
  <c r="J47" i="326" s="1"/>
  <c r="I46" i="326"/>
  <c r="J46" i="326" s="1"/>
  <c r="K45" i="326"/>
  <c r="H45" i="326"/>
  <c r="I45" i="326" s="1"/>
  <c r="J45" i="326" s="1"/>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c r="I15" i="326"/>
  <c r="J15" i="326"/>
  <c r="I14" i="326"/>
  <c r="J14" i="326"/>
  <c r="K13" i="326"/>
  <c r="H13" i="326"/>
  <c r="G13" i="326"/>
  <c r="F13" i="326"/>
  <c r="E13" i="326"/>
  <c r="D13" i="326"/>
  <c r="C13" i="326"/>
  <c r="I12" i="326"/>
  <c r="J12" i="326" s="1"/>
  <c r="I11" i="326"/>
  <c r="J11" i="326" s="1"/>
  <c r="I10" i="326"/>
  <c r="J10" i="326" s="1"/>
  <c r="I9" i="326"/>
  <c r="J9" i="326" s="1"/>
  <c r="C8" i="326"/>
  <c r="K160" i="242"/>
  <c r="G160" i="242"/>
  <c r="F160" i="242"/>
  <c r="E160" i="242"/>
  <c r="D160" i="242"/>
  <c r="C160" i="242"/>
  <c r="K140" i="242"/>
  <c r="K138" i="242" s="1"/>
  <c r="H140" i="242"/>
  <c r="H138" i="242" s="1"/>
  <c r="G140" i="242"/>
  <c r="F140" i="242"/>
  <c r="F138" i="242" s="1"/>
  <c r="E140" i="242"/>
  <c r="E138" i="242" s="1"/>
  <c r="D140" i="242"/>
  <c r="D138" i="242" s="1"/>
  <c r="C140" i="242"/>
  <c r="C138" i="242" s="1"/>
  <c r="I142" i="242"/>
  <c r="J142" i="242" s="1"/>
  <c r="I141" i="242"/>
  <c r="J141" i="242" s="1"/>
  <c r="I144" i="242"/>
  <c r="J144" i="242" s="1"/>
  <c r="I143" i="242"/>
  <c r="J143" i="242"/>
  <c r="I145" i="242"/>
  <c r="J145" i="242"/>
  <c r="J165" i="242"/>
  <c r="I164" i="242"/>
  <c r="J164" i="242" s="1"/>
  <c r="K163" i="242"/>
  <c r="H163" i="242"/>
  <c r="G163" i="242"/>
  <c r="F163" i="242"/>
  <c r="E163" i="242"/>
  <c r="D163" i="242"/>
  <c r="C163" i="242"/>
  <c r="I158" i="242"/>
  <c r="J158" i="242" s="1"/>
  <c r="K157" i="242"/>
  <c r="H157" i="242"/>
  <c r="G157" i="242"/>
  <c r="I157" i="242" s="1"/>
  <c r="J157" i="242" s="1"/>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E130" i="242"/>
  <c r="D130" i="242"/>
  <c r="K118" i="242"/>
  <c r="K117" i="242" s="1"/>
  <c r="H118" i="242"/>
  <c r="G118" i="242"/>
  <c r="F118" i="242"/>
  <c r="E118" i="242"/>
  <c r="D118" i="242"/>
  <c r="C118" i="242"/>
  <c r="I122" i="242"/>
  <c r="J122" i="242" s="1"/>
  <c r="I121" i="242"/>
  <c r="J121" i="242" s="1"/>
  <c r="I120" i="242"/>
  <c r="J120" i="242" s="1"/>
  <c r="C130" i="242"/>
  <c r="K111" i="242"/>
  <c r="H111" i="242"/>
  <c r="G111" i="242"/>
  <c r="F111" i="242"/>
  <c r="E111" i="242"/>
  <c r="D111" i="242"/>
  <c r="C111" i="242"/>
  <c r="C110" i="242"/>
  <c r="K114" i="242"/>
  <c r="H114" i="242"/>
  <c r="G114" i="242"/>
  <c r="F114" i="242"/>
  <c r="E114" i="242"/>
  <c r="D114" i="242"/>
  <c r="C114" i="242"/>
  <c r="I112" i="242"/>
  <c r="J112" i="242"/>
  <c r="I113" i="242"/>
  <c r="J113" i="242"/>
  <c r="I116" i="242"/>
  <c r="J116" i="242"/>
  <c r="I115" i="242"/>
  <c r="J115" i="242"/>
  <c r="K103" i="242"/>
  <c r="H103" i="242"/>
  <c r="G103" i="242"/>
  <c r="F103" i="242"/>
  <c r="E103" i="242"/>
  <c r="D103" i="242"/>
  <c r="C103" i="242"/>
  <c r="I106" i="242"/>
  <c r="J106" i="242" s="1"/>
  <c r="I105" i="242"/>
  <c r="J105" i="242" s="1"/>
  <c r="I104" i="242"/>
  <c r="J104" i="242" s="1"/>
  <c r="K99" i="242"/>
  <c r="H99" i="242"/>
  <c r="G99" i="242"/>
  <c r="F99" i="242"/>
  <c r="E99" i="242"/>
  <c r="D99" i="242"/>
  <c r="K76" i="242"/>
  <c r="K75" i="242" s="1"/>
  <c r="H76" i="242"/>
  <c r="H75" i="242" s="1"/>
  <c r="G76" i="242"/>
  <c r="F76" i="242"/>
  <c r="F75" i="242"/>
  <c r="E76" i="242"/>
  <c r="D76" i="242"/>
  <c r="C99" i="242"/>
  <c r="C76" i="242"/>
  <c r="I87" i="242"/>
  <c r="J87" i="242"/>
  <c r="I86" i="242"/>
  <c r="J86" i="242"/>
  <c r="I85" i="242"/>
  <c r="J85" i="242"/>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c r="C53" i="242"/>
  <c r="I62" i="242"/>
  <c r="J62" i="242" s="1"/>
  <c r="I61" i="242"/>
  <c r="J61" i="242" s="1"/>
  <c r="I60" i="242"/>
  <c r="J60" i="242" s="1"/>
  <c r="I59" i="242"/>
  <c r="J59" i="242" s="1"/>
  <c r="I58" i="242"/>
  <c r="J58" i="242" s="1"/>
  <c r="I57" i="242"/>
  <c r="J57" i="242" s="1"/>
  <c r="I56" i="242"/>
  <c r="J56" i="242" s="1"/>
  <c r="I55" i="242"/>
  <c r="J55" i="242" s="1"/>
  <c r="I54" i="242"/>
  <c r="J54" i="242" s="1"/>
  <c r="I48" i="242"/>
  <c r="J48" i="242" s="1"/>
  <c r="I52" i="242"/>
  <c r="J52" i="242" s="1"/>
  <c r="I51" i="242"/>
  <c r="J51" i="242" s="1"/>
  <c r="I50" i="242"/>
  <c r="J50" i="242" s="1"/>
  <c r="I49" i="242"/>
  <c r="J49" i="242" s="1"/>
  <c r="I47" i="242"/>
  <c r="J47" i="242" s="1"/>
  <c r="K45" i="242"/>
  <c r="H45" i="242"/>
  <c r="G45" i="242"/>
  <c r="F45" i="242"/>
  <c r="E45" i="242"/>
  <c r="D45" i="242"/>
  <c r="C45" i="242"/>
  <c r="I41" i="242"/>
  <c r="J41" i="242"/>
  <c r="I42" i="242"/>
  <c r="J42" i="242"/>
  <c r="I40" i="242"/>
  <c r="J40" i="242"/>
  <c r="I44" i="242"/>
  <c r="J44" i="242"/>
  <c r="I43" i="242"/>
  <c r="J43" i="242"/>
  <c r="I39" i="242"/>
  <c r="J39" i="242"/>
  <c r="K38" i="242"/>
  <c r="H38" i="242"/>
  <c r="I38" i="242" s="1"/>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c r="I25" i="242"/>
  <c r="J25" i="242"/>
  <c r="C8" i="242"/>
  <c r="I10" i="242"/>
  <c r="J10" i="242" s="1"/>
  <c r="I9" i="242"/>
  <c r="J9" i="242" s="1"/>
  <c r="A243" i="330"/>
  <c r="A239" i="330"/>
  <c r="G235" i="330"/>
  <c r="G47" i="241" s="1"/>
  <c r="F235" i="330"/>
  <c r="F47" i="241" s="1"/>
  <c r="E235" i="330"/>
  <c r="E47" i="241" s="1"/>
  <c r="D235" i="330"/>
  <c r="D47" i="241" s="1"/>
  <c r="C235" i="330"/>
  <c r="C47" i="241" s="1"/>
  <c r="I238" i="330"/>
  <c r="J238" i="330" s="1"/>
  <c r="A238" i="330"/>
  <c r="A237" i="330"/>
  <c r="I236" i="330"/>
  <c r="J236" i="330" s="1"/>
  <c r="A236" i="330"/>
  <c r="A233" i="330"/>
  <c r="I228" i="330"/>
  <c r="J228" i="330" s="1"/>
  <c r="A228" i="330"/>
  <c r="A229" i="330"/>
  <c r="I229" i="330"/>
  <c r="J229" i="330"/>
  <c r="I224" i="330"/>
  <c r="J224" i="330" s="1"/>
  <c r="A224" i="330"/>
  <c r="A220" i="330"/>
  <c r="A219" i="330"/>
  <c r="A218" i="330"/>
  <c r="A217" i="330"/>
  <c r="A216" i="330"/>
  <c r="I219" i="330"/>
  <c r="J219" i="330" s="1"/>
  <c r="I217" i="330"/>
  <c r="J217" i="330"/>
  <c r="A213" i="330"/>
  <c r="A212" i="330"/>
  <c r="A211" i="330"/>
  <c r="A210" i="330"/>
  <c r="I211" i="330"/>
  <c r="J211" i="330" s="1"/>
  <c r="A208" i="330"/>
  <c r="A207" i="330"/>
  <c r="A206" i="330"/>
  <c r="A205" i="330"/>
  <c r="A204" i="330"/>
  <c r="A203" i="330"/>
  <c r="A202" i="330"/>
  <c r="A201" i="330"/>
  <c r="A200" i="330"/>
  <c r="A199" i="330"/>
  <c r="I204" i="330"/>
  <c r="J204" i="330" s="1"/>
  <c r="I202" i="330"/>
  <c r="J202" i="330" s="1"/>
  <c r="I201" i="330"/>
  <c r="J201" i="330" s="1"/>
  <c r="I200" i="330"/>
  <c r="J200" i="330" s="1"/>
  <c r="I206" i="330"/>
  <c r="J206" i="330" s="1"/>
  <c r="I205" i="330"/>
  <c r="J205" i="330" s="1"/>
  <c r="I207" i="330"/>
  <c r="J207" i="330"/>
  <c r="I208" i="330"/>
  <c r="J208" i="330"/>
  <c r="A196" i="330"/>
  <c r="A195" i="330"/>
  <c r="A194" i="330"/>
  <c r="A193" i="330"/>
  <c r="A192" i="330"/>
  <c r="A191" i="330"/>
  <c r="A190" i="330"/>
  <c r="I192" i="330"/>
  <c r="J192" i="330" s="1"/>
  <c r="I191" i="330"/>
  <c r="J191" i="330" s="1"/>
  <c r="I194" i="330"/>
  <c r="J194" i="330"/>
  <c r="I193" i="330"/>
  <c r="J193" i="330"/>
  <c r="A188" i="330"/>
  <c r="A187" i="330"/>
  <c r="K186" i="330"/>
  <c r="K37" i="241" s="1"/>
  <c r="G186" i="330"/>
  <c r="G37" i="241" s="1"/>
  <c r="F186" i="330"/>
  <c r="F37" i="241" s="1"/>
  <c r="E186" i="330"/>
  <c r="E37" i="241" s="1"/>
  <c r="D186" i="330"/>
  <c r="D37" i="241"/>
  <c r="C186" i="330"/>
  <c r="C37" i="241" s="1"/>
  <c r="I188" i="330"/>
  <c r="J188" i="330" s="1"/>
  <c r="A176" i="330"/>
  <c r="A175" i="330"/>
  <c r="A174" i="330"/>
  <c r="K171" i="330"/>
  <c r="K35" i="241"/>
  <c r="H171" i="330"/>
  <c r="H35" i="241" s="1"/>
  <c r="G171" i="330"/>
  <c r="G35" i="241" s="1"/>
  <c r="F171" i="330"/>
  <c r="F35" i="241" s="1"/>
  <c r="E171" i="330"/>
  <c r="E35" i="241" s="1"/>
  <c r="D171" i="330"/>
  <c r="D35" i="241"/>
  <c r="C171" i="330"/>
  <c r="C35" i="241" s="1"/>
  <c r="I176" i="330"/>
  <c r="J176" i="330" s="1"/>
  <c r="I175" i="330"/>
  <c r="J175" i="330" s="1"/>
  <c r="I173" i="330"/>
  <c r="J173" i="330"/>
  <c r="A173" i="330"/>
  <c r="I172" i="330"/>
  <c r="J172" i="330" s="1"/>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G132" i="330"/>
  <c r="G31" i="241" s="1"/>
  <c r="F132" i="330"/>
  <c r="F31" i="241" s="1"/>
  <c r="E132" i="330"/>
  <c r="D132" i="330"/>
  <c r="D31" i="241" s="1"/>
  <c r="G27" i="330"/>
  <c r="F27" i="330"/>
  <c r="F11" i="241" s="1"/>
  <c r="E27" i="330"/>
  <c r="E11" i="241" s="1"/>
  <c r="D27" i="330"/>
  <c r="C27" i="330"/>
  <c r="C11" i="241" s="1"/>
  <c r="G10" i="330"/>
  <c r="G8" i="241" s="1"/>
  <c r="F10" i="330"/>
  <c r="F8" i="241" s="1"/>
  <c r="E10" i="330"/>
  <c r="D10" i="330"/>
  <c r="C10" i="330"/>
  <c r="C132" i="330"/>
  <c r="C31" i="241" s="1"/>
  <c r="I145" i="330"/>
  <c r="J145" i="330" s="1"/>
  <c r="I144" i="330"/>
  <c r="J144" i="330" s="1"/>
  <c r="I142" i="330"/>
  <c r="J142" i="330" s="1"/>
  <c r="I141" i="330"/>
  <c r="J141" i="330" s="1"/>
  <c r="I138" i="330"/>
  <c r="J138" i="330" s="1"/>
  <c r="I136" i="330"/>
  <c r="J136" i="330" s="1"/>
  <c r="A146" i="330"/>
  <c r="C146" i="330"/>
  <c r="C32" i="241" s="1"/>
  <c r="D146" i="330"/>
  <c r="E146" i="330"/>
  <c r="E32" i="241" s="1"/>
  <c r="F146" i="330"/>
  <c r="F32" i="241" s="1"/>
  <c r="G146" i="330"/>
  <c r="K146" i="330"/>
  <c r="K32" i="241" s="1"/>
  <c r="A148" i="330"/>
  <c r="A149" i="330"/>
  <c r="C149" i="330"/>
  <c r="C34" i="241" s="1"/>
  <c r="D149" i="330"/>
  <c r="D34" i="241" s="1"/>
  <c r="E149" i="330"/>
  <c r="E34" i="241" s="1"/>
  <c r="F149" i="330"/>
  <c r="F34" i="241" s="1"/>
  <c r="G149" i="330"/>
  <c r="G34" i="241" s="1"/>
  <c r="I150" i="330"/>
  <c r="J150" i="330" s="1"/>
  <c r="I165" i="330"/>
  <c r="J165" i="330" s="1"/>
  <c r="I166" i="330"/>
  <c r="J166" i="330" s="1"/>
  <c r="I168" i="330"/>
  <c r="J168" i="330" s="1"/>
  <c r="I169" i="330"/>
  <c r="J169" i="330" s="1"/>
  <c r="I170" i="330"/>
  <c r="J170" i="330" s="1"/>
  <c r="H113" i="330"/>
  <c r="H24" i="241" s="1"/>
  <c r="G113" i="330"/>
  <c r="F113" i="330"/>
  <c r="F24" i="241" s="1"/>
  <c r="E113" i="330"/>
  <c r="D113" i="330"/>
  <c r="D24" i="241" s="1"/>
  <c r="C113" i="330"/>
  <c r="C24" i="241" s="1"/>
  <c r="I115" i="330"/>
  <c r="J115" i="330" s="1"/>
  <c r="I114" i="330"/>
  <c r="J114" i="330" s="1"/>
  <c r="I117" i="330"/>
  <c r="J117" i="330" s="1"/>
  <c r="I111" i="330"/>
  <c r="J111" i="330" s="1"/>
  <c r="I106" i="330"/>
  <c r="J106" i="330" s="1"/>
  <c r="I102" i="330"/>
  <c r="J102" i="330" s="1"/>
  <c r="I95" i="330"/>
  <c r="J95" i="330" s="1"/>
  <c r="I94" i="330"/>
  <c r="J94" i="330" s="1"/>
  <c r="I96" i="330"/>
  <c r="J96" i="330" s="1"/>
  <c r="H76" i="330"/>
  <c r="H17" i="241" s="1"/>
  <c r="G76" i="330"/>
  <c r="G17" i="241" s="1"/>
  <c r="F76" i="330"/>
  <c r="F17" i="241" s="1"/>
  <c r="E76" i="330"/>
  <c r="E17" i="241" s="1"/>
  <c r="D76" i="330"/>
  <c r="C76" i="330"/>
  <c r="I77" i="330"/>
  <c r="J77" i="330"/>
  <c r="I81" i="330"/>
  <c r="J81" i="330"/>
  <c r="I80" i="330"/>
  <c r="J80" i="330"/>
  <c r="I79" i="330"/>
  <c r="J79" i="330" s="1"/>
  <c r="I78" i="330"/>
  <c r="J78" i="330" s="1"/>
  <c r="I82" i="330"/>
  <c r="J82" i="330"/>
  <c r="K67" i="330"/>
  <c r="K15" i="241"/>
  <c r="H67" i="330"/>
  <c r="H15" i="241"/>
  <c r="G67" i="330"/>
  <c r="F67" i="330"/>
  <c r="F15" i="241" s="1"/>
  <c r="E67" i="330"/>
  <c r="E15" i="241" s="1"/>
  <c r="D67" i="330"/>
  <c r="D15" i="241" s="1"/>
  <c r="C67" i="330"/>
  <c r="C15" i="241"/>
  <c r="H64" i="330"/>
  <c r="H14" i="241" s="1"/>
  <c r="G64" i="330"/>
  <c r="G14" i="241" s="1"/>
  <c r="F64" i="330"/>
  <c r="F14" i="241" s="1"/>
  <c r="E64" i="330"/>
  <c r="E14" i="241" s="1"/>
  <c r="D64" i="330"/>
  <c r="D14" i="241"/>
  <c r="K64" i="330"/>
  <c r="K14" i="241" s="1"/>
  <c r="C64" i="330"/>
  <c r="C14" i="241" s="1"/>
  <c r="I69" i="330"/>
  <c r="J69" i="330"/>
  <c r="I68" i="330"/>
  <c r="J68" i="330"/>
  <c r="I71" i="330"/>
  <c r="J71" i="330"/>
  <c r="I70" i="330"/>
  <c r="J70" i="330"/>
  <c r="I66" i="330"/>
  <c r="J66" i="330"/>
  <c r="I65" i="330"/>
  <c r="J65" i="330" s="1"/>
  <c r="I58" i="330"/>
  <c r="J58" i="330" s="1"/>
  <c r="K49" i="330"/>
  <c r="K12" i="241" s="1"/>
  <c r="G49" i="330"/>
  <c r="G12" i="241" s="1"/>
  <c r="F49" i="330"/>
  <c r="F12" i="241" s="1"/>
  <c r="E49" i="330"/>
  <c r="E12" i="241" s="1"/>
  <c r="D49" i="330"/>
  <c r="D12" i="241" s="1"/>
  <c r="C49" i="330"/>
  <c r="C12" i="241" s="1"/>
  <c r="I54" i="330"/>
  <c r="J54" i="330"/>
  <c r="I52" i="330"/>
  <c r="J52" i="330"/>
  <c r="I51" i="330"/>
  <c r="J51" i="330"/>
  <c r="I50" i="330"/>
  <c r="J50" i="330"/>
  <c r="C55" i="330"/>
  <c r="C13" i="241" s="1"/>
  <c r="D55" i="330"/>
  <c r="D13" i="241" s="1"/>
  <c r="E55" i="330"/>
  <c r="E13" i="241" s="1"/>
  <c r="F55" i="330"/>
  <c r="G55" i="330"/>
  <c r="G13" i="241" s="1"/>
  <c r="K55" i="330"/>
  <c r="K13" i="241"/>
  <c r="I56" i="330"/>
  <c r="J56" i="330" s="1"/>
  <c r="I57" i="330"/>
  <c r="J57" i="330" s="1"/>
  <c r="I59" i="330"/>
  <c r="J59" i="330" s="1"/>
  <c r="I40" i="330"/>
  <c r="J40" i="330" s="1"/>
  <c r="I39" i="330"/>
  <c r="J39" i="330" s="1"/>
  <c r="I38" i="330"/>
  <c r="J38" i="330" s="1"/>
  <c r="I37" i="330"/>
  <c r="J37" i="330" s="1"/>
  <c r="I36" i="330"/>
  <c r="J36" i="330" s="1"/>
  <c r="I35" i="330"/>
  <c r="J35" i="330" s="1"/>
  <c r="I34" i="330"/>
  <c r="J34" i="330" s="1"/>
  <c r="I33" i="330"/>
  <c r="J33" i="330" s="1"/>
  <c r="I32" i="330"/>
  <c r="J32" i="330" s="1"/>
  <c r="I30" i="330"/>
  <c r="J30" i="330" s="1"/>
  <c r="I29" i="330"/>
  <c r="J29" i="330" s="1"/>
  <c r="I28" i="330"/>
  <c r="J28" i="330" s="1"/>
  <c r="I16" i="330"/>
  <c r="J16" i="330" s="1"/>
  <c r="I14" i="330"/>
  <c r="J14" i="330" s="1"/>
  <c r="I13" i="330"/>
  <c r="J13" i="330" s="1"/>
  <c r="I11" i="330"/>
  <c r="J11" i="330" s="1"/>
  <c r="I19" i="330"/>
  <c r="J19" i="330" s="1"/>
  <c r="I18" i="330"/>
  <c r="J18" i="330" s="1"/>
  <c r="I23" i="330"/>
  <c r="J23" i="330" s="1"/>
  <c r="I22" i="330"/>
  <c r="J22" i="330" s="1"/>
  <c r="I21" i="330"/>
  <c r="J21" i="330" s="1"/>
  <c r="I20" i="330"/>
  <c r="J20" i="330" s="1"/>
  <c r="E81" i="100"/>
  <c r="E79" i="100"/>
  <c r="F81" i="100"/>
  <c r="F79" i="100"/>
  <c r="A21" i="267"/>
  <c r="H40" i="177"/>
  <c r="J8" i="267"/>
  <c r="L20" i="175"/>
  <c r="L19" i="175"/>
  <c r="L18" i="175"/>
  <c r="L17" i="175"/>
  <c r="L9" i="175"/>
  <c r="L10" i="175"/>
  <c r="L13" i="175"/>
  <c r="K15" i="175"/>
  <c r="L15" i="175"/>
  <c r="L12" i="175"/>
  <c r="L11" i="175"/>
  <c r="L8" i="175"/>
  <c r="L7" i="175"/>
  <c r="L6" i="175"/>
  <c r="L5" i="175"/>
  <c r="X11" i="329"/>
  <c r="F9" i="334"/>
  <c r="G30" i="334"/>
  <c r="G29" i="334"/>
  <c r="F46" i="334"/>
  <c r="F45" i="334"/>
  <c r="F44" i="334" s="1"/>
  <c r="G44" i="334" s="1"/>
  <c r="F43" i="334"/>
  <c r="G43" i="334" s="1"/>
  <c r="F42" i="334"/>
  <c r="G42" i="334" s="1"/>
  <c r="F40" i="334"/>
  <c r="G40" i="334" s="1"/>
  <c r="F39" i="334"/>
  <c r="F38" i="334" s="1"/>
  <c r="F37" i="334"/>
  <c r="G37" i="334"/>
  <c r="F36" i="334"/>
  <c r="G36" i="334"/>
  <c r="F35" i="334"/>
  <c r="G35" i="334"/>
  <c r="F34" i="334"/>
  <c r="G34" i="334"/>
  <c r="F33" i="334"/>
  <c r="G33" i="334"/>
  <c r="F32" i="334"/>
  <c r="F27" i="334"/>
  <c r="G27" i="334" s="1"/>
  <c r="F26" i="334"/>
  <c r="G26" i="334" s="1"/>
  <c r="F24" i="334"/>
  <c r="F23" i="334"/>
  <c r="G23" i="334" s="1"/>
  <c r="F21" i="334"/>
  <c r="G21" i="334" s="1"/>
  <c r="F20" i="334"/>
  <c r="G20" i="334" s="1"/>
  <c r="F19" i="334"/>
  <c r="G19" i="334" s="1"/>
  <c r="F18" i="334"/>
  <c r="F17" i="334"/>
  <c r="G17" i="334"/>
  <c r="F15" i="334"/>
  <c r="G15" i="334"/>
  <c r="F14" i="334"/>
  <c r="G14" i="334"/>
  <c r="F13" i="334"/>
  <c r="G13" i="334"/>
  <c r="F12" i="334"/>
  <c r="G12" i="334"/>
  <c r="F11" i="334"/>
  <c r="G11" i="334"/>
  <c r="F10" i="334"/>
  <c r="G10" i="334"/>
  <c r="B107" i="100"/>
  <c r="B90" i="100"/>
  <c r="K6" i="175"/>
  <c r="N21" i="175"/>
  <c r="N14" i="175"/>
  <c r="K5" i="175"/>
  <c r="K19" i="175"/>
  <c r="C80" i="172"/>
  <c r="B80" i="172" s="1"/>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E47" i="334" s="1"/>
  <c r="D31" i="334"/>
  <c r="D47" i="334" s="1"/>
  <c r="C31" i="334"/>
  <c r="C47" i="334" s="1"/>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8" i="269"/>
  <c r="B91" i="100"/>
  <c r="F10" i="267"/>
  <c r="E10" i="267"/>
  <c r="D10" i="267"/>
  <c r="C10" i="267"/>
  <c r="F8" i="267"/>
  <c r="E8" i="267"/>
  <c r="D8" i="267"/>
  <c r="C8" i="267"/>
  <c r="B10" i="267"/>
  <c r="B8" i="267"/>
  <c r="B9" i="267"/>
  <c r="C307" i="322"/>
  <c r="I92" i="318"/>
  <c r="J92" i="318" s="1"/>
  <c r="I91" i="318"/>
  <c r="J91" i="318" s="1"/>
  <c r="I90" i="318"/>
  <c r="J90" i="318" s="1"/>
  <c r="I89" i="318"/>
  <c r="J89" i="318" s="1"/>
  <c r="I78" i="318"/>
  <c r="J78" i="318" s="1"/>
  <c r="I63" i="318"/>
  <c r="J63" i="318" s="1"/>
  <c r="I61" i="318"/>
  <c r="J61" i="318"/>
  <c r="I60" i="318"/>
  <c r="J60" i="318"/>
  <c r="I59" i="318"/>
  <c r="J59" i="318"/>
  <c r="I58" i="318"/>
  <c r="J58" i="318"/>
  <c r="I57" i="318"/>
  <c r="J57" i="318"/>
  <c r="I41" i="318"/>
  <c r="J41" i="318" s="1"/>
  <c r="I34" i="318"/>
  <c r="J34" i="318" s="1"/>
  <c r="I38" i="318"/>
  <c r="J38" i="318" s="1"/>
  <c r="I43" i="318"/>
  <c r="J43" i="318" s="1"/>
  <c r="I45" i="318"/>
  <c r="J45" i="318"/>
  <c r="I25" i="318"/>
  <c r="J25" i="318" s="1"/>
  <c r="I24" i="318"/>
  <c r="J24" i="318" s="1"/>
  <c r="I12" i="318"/>
  <c r="J12" i="318" s="1"/>
  <c r="I11" i="318"/>
  <c r="J11"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s="1"/>
  <c r="D39" i="272" s="1"/>
  <c r="E174" i="323"/>
  <c r="E24" i="272" s="1"/>
  <c r="F174" i="323"/>
  <c r="F24" i="272" s="1"/>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s="1"/>
  <c r="A3" i="332"/>
  <c r="D3" i="332"/>
  <c r="A4" i="332"/>
  <c r="D4" i="332"/>
  <c r="A5" i="332"/>
  <c r="D5" i="332"/>
  <c r="A6" i="332"/>
  <c r="A10" i="272"/>
  <c r="D6" i="332"/>
  <c r="A7" i="332"/>
  <c r="A229" i="323" s="1"/>
  <c r="D7" i="332"/>
  <c r="A8" i="332"/>
  <c r="D8" i="332"/>
  <c r="A9" i="332"/>
  <c r="D9" i="332"/>
  <c r="A10" i="332"/>
  <c r="A32" i="268"/>
  <c r="D10" i="332"/>
  <c r="A11" i="332"/>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F54" i="174"/>
  <c r="E54" i="174"/>
  <c r="D54" i="174"/>
  <c r="I40" i="182"/>
  <c r="J40" i="182" s="1"/>
  <c r="I41" i="182"/>
  <c r="J41" i="182" s="1"/>
  <c r="K57" i="268"/>
  <c r="G57" i="268"/>
  <c r="F57" i="268"/>
  <c r="E57" i="268"/>
  <c r="D57" i="268"/>
  <c r="C57" i="268"/>
  <c r="C118" i="330"/>
  <c r="C25" i="241" s="1"/>
  <c r="E31" i="241"/>
  <c r="C8" i="241"/>
  <c r="J13" i="267"/>
  <c r="J14" i="267"/>
  <c r="J16" i="267"/>
  <c r="J17" i="267"/>
  <c r="F12" i="267"/>
  <c r="F13" i="267"/>
  <c r="F14" i="267"/>
  <c r="F15" i="267"/>
  <c r="F16" i="267"/>
  <c r="F17" i="267"/>
  <c r="E12" i="267"/>
  <c r="E13" i="267"/>
  <c r="E14" i="267"/>
  <c r="E15" i="267"/>
  <c r="E16" i="267"/>
  <c r="E17" i="267"/>
  <c r="D12" i="267"/>
  <c r="D13" i="267"/>
  <c r="D14" i="267"/>
  <c r="D15" i="267"/>
  <c r="D16" i="267"/>
  <c r="D17" i="267"/>
  <c r="C12" i="267"/>
  <c r="C13" i="267"/>
  <c r="C14" i="267"/>
  <c r="C19" i="267" s="1"/>
  <c r="C15" i="267"/>
  <c r="C16" i="267"/>
  <c r="C17" i="267"/>
  <c r="B12" i="267"/>
  <c r="B13" i="267"/>
  <c r="B14" i="267"/>
  <c r="B15" i="267"/>
  <c r="B16" i="267"/>
  <c r="B17" i="267"/>
  <c r="C54" i="270"/>
  <c r="C44" i="270"/>
  <c r="C30" i="270"/>
  <c r="K240" i="323"/>
  <c r="K30" i="272"/>
  <c r="K251" i="323"/>
  <c r="K31" i="272"/>
  <c r="K262" i="323"/>
  <c r="K273" i="323"/>
  <c r="K284" i="323"/>
  <c r="K34" i="272"/>
  <c r="K295" i="323"/>
  <c r="K35" i="272"/>
  <c r="K306" i="323"/>
  <c r="K317" i="323"/>
  <c r="K37" i="272" s="1"/>
  <c r="K328" i="323"/>
  <c r="K38" i="272" s="1"/>
  <c r="H240" i="323"/>
  <c r="H30" i="272" s="1"/>
  <c r="H251" i="323"/>
  <c r="H31" i="272" s="1"/>
  <c r="H262" i="323"/>
  <c r="H273" i="323"/>
  <c r="H284" i="323"/>
  <c r="H34" i="272" s="1"/>
  <c r="H295" i="323"/>
  <c r="H35" i="272" s="1"/>
  <c r="H306" i="323"/>
  <c r="H36" i="272" s="1"/>
  <c r="H317" i="323"/>
  <c r="H328" i="323"/>
  <c r="H38" i="272"/>
  <c r="G185" i="323"/>
  <c r="G196" i="323"/>
  <c r="G26" i="272" s="1"/>
  <c r="G207" i="323"/>
  <c r="G27" i="272" s="1"/>
  <c r="G218" i="323"/>
  <c r="G28" i="272" s="1"/>
  <c r="G229" i="323"/>
  <c r="G29" i="272" s="1"/>
  <c r="G240" i="323"/>
  <c r="I240" i="323" s="1"/>
  <c r="J240" i="323"/>
  <c r="G251" i="323"/>
  <c r="G262" i="323"/>
  <c r="I262" i="323" s="1"/>
  <c r="J262" i="323" s="1"/>
  <c r="G273" i="323"/>
  <c r="I273" i="323"/>
  <c r="J273" i="323" s="1"/>
  <c r="G284" i="323"/>
  <c r="G34" i="272" s="1"/>
  <c r="I34" i="272"/>
  <c r="J34" i="272" s="1"/>
  <c r="G295" i="323"/>
  <c r="G306" i="323"/>
  <c r="G36" i="272"/>
  <c r="G317" i="323"/>
  <c r="I317" i="323"/>
  <c r="J317" i="323" s="1"/>
  <c r="G328" i="323"/>
  <c r="G38" i="272" s="1"/>
  <c r="F185" i="323"/>
  <c r="F25" i="272" s="1"/>
  <c r="F196" i="323"/>
  <c r="F26" i="272" s="1"/>
  <c r="F207" i="323"/>
  <c r="F218" i="323"/>
  <c r="F28" i="272" s="1"/>
  <c r="F229" i="323"/>
  <c r="F29" i="272" s="1"/>
  <c r="F240" i="323"/>
  <c r="F251" i="323"/>
  <c r="F31" i="272"/>
  <c r="F262" i="323"/>
  <c r="F32" i="272"/>
  <c r="F273" i="323"/>
  <c r="F284" i="323"/>
  <c r="F34" i="272" s="1"/>
  <c r="F295" i="323"/>
  <c r="F35" i="272" s="1"/>
  <c r="F306" i="323"/>
  <c r="F36" i="272" s="1"/>
  <c r="F317" i="323"/>
  <c r="F37" i="272" s="1"/>
  <c r="F328" i="323"/>
  <c r="F38" i="272" s="1"/>
  <c r="E185" i="323"/>
  <c r="E25" i="272" s="1"/>
  <c r="E196" i="323"/>
  <c r="E207" i="323"/>
  <c r="E27" i="272" s="1"/>
  <c r="E218" i="323"/>
  <c r="E28" i="272"/>
  <c r="E229" i="323"/>
  <c r="K229" i="323" s="1"/>
  <c r="K29" i="272" s="1"/>
  <c r="E240" i="323"/>
  <c r="E251" i="323"/>
  <c r="E31" i="272"/>
  <c r="E262" i="323"/>
  <c r="E32" i="272"/>
  <c r="E273" i="323"/>
  <c r="E33" i="272"/>
  <c r="E284" i="323"/>
  <c r="E34" i="272"/>
  <c r="E295" i="323"/>
  <c r="E35" i="272"/>
  <c r="E306" i="323"/>
  <c r="E36" i="272"/>
  <c r="E317" i="323"/>
  <c r="E37" i="272"/>
  <c r="E328" i="323"/>
  <c r="E38" i="272"/>
  <c r="D185" i="323"/>
  <c r="D196" i="323"/>
  <c r="D26" i="272" s="1"/>
  <c r="D207" i="323"/>
  <c r="D27" i="272" s="1"/>
  <c r="D218" i="323"/>
  <c r="D28" i="272" s="1"/>
  <c r="D29" i="272"/>
  <c r="D240" i="323"/>
  <c r="D30" i="272"/>
  <c r="D251" i="323"/>
  <c r="D262" i="323"/>
  <c r="D32" i="272" s="1"/>
  <c r="D273" i="323"/>
  <c r="D33" i="272" s="1"/>
  <c r="D284" i="323"/>
  <c r="D34" i="272" s="1"/>
  <c r="D295" i="323"/>
  <c r="D35" i="272" s="1"/>
  <c r="D306" i="323"/>
  <c r="D36" i="272" s="1"/>
  <c r="D317" i="323"/>
  <c r="D37" i="272" s="1"/>
  <c r="D328" i="323"/>
  <c r="D38" i="272" s="1"/>
  <c r="C185" i="323"/>
  <c r="C25" i="272" s="1"/>
  <c r="C196" i="323"/>
  <c r="C207" i="323"/>
  <c r="C27" i="272" s="1"/>
  <c r="C218" i="323"/>
  <c r="C28" i="272" s="1"/>
  <c r="C229" i="323"/>
  <c r="C29" i="272" s="1"/>
  <c r="C240" i="323"/>
  <c r="C251" i="323"/>
  <c r="C262" i="323"/>
  <c r="C32" i="272" s="1"/>
  <c r="C273" i="323"/>
  <c r="C33" i="272" s="1"/>
  <c r="C284" i="323"/>
  <c r="C34" i="272" s="1"/>
  <c r="C295" i="323"/>
  <c r="C306" i="323"/>
  <c r="C36" i="272"/>
  <c r="C317" i="323"/>
  <c r="C37" i="272"/>
  <c r="C328" i="323"/>
  <c r="D28" i="177"/>
  <c r="D18" i="177"/>
  <c r="C43" i="267"/>
  <c r="K330" i="324"/>
  <c r="K38" i="268"/>
  <c r="K319" i="324"/>
  <c r="K37" i="268"/>
  <c r="K308" i="324"/>
  <c r="K36" i="268"/>
  <c r="K297" i="324"/>
  <c r="K35" i="268"/>
  <c r="K286" i="324"/>
  <c r="K34" i="268"/>
  <c r="K275" i="324"/>
  <c r="K33" i="268"/>
  <c r="K264" i="324"/>
  <c r="K32" i="268"/>
  <c r="K253" i="324"/>
  <c r="K31" i="268"/>
  <c r="K242" i="324"/>
  <c r="K30" i="268"/>
  <c r="G330" i="324"/>
  <c r="G38" i="268"/>
  <c r="H330" i="324"/>
  <c r="H38" i="268"/>
  <c r="F330" i="324"/>
  <c r="F38" i="268"/>
  <c r="E330" i="324"/>
  <c r="E38" i="268"/>
  <c r="D330" i="324"/>
  <c r="G319" i="324"/>
  <c r="G37" i="268" s="1"/>
  <c r="H319" i="324"/>
  <c r="H37" i="268" s="1"/>
  <c r="F319" i="324"/>
  <c r="F37" i="268" s="1"/>
  <c r="E319" i="324"/>
  <c r="E37" i="268" s="1"/>
  <c r="D319" i="324"/>
  <c r="D37" i="268" s="1"/>
  <c r="G308" i="324"/>
  <c r="H308" i="324"/>
  <c r="H36" i="268"/>
  <c r="F308" i="324"/>
  <c r="F36" i="268"/>
  <c r="E308" i="324"/>
  <c r="E36" i="268"/>
  <c r="D308" i="324"/>
  <c r="D36" i="268"/>
  <c r="G297" i="324"/>
  <c r="G35" i="268"/>
  <c r="H297" i="324"/>
  <c r="F297" i="324"/>
  <c r="F35" i="268" s="1"/>
  <c r="E297" i="324"/>
  <c r="E35" i="268" s="1"/>
  <c r="D297" i="324"/>
  <c r="D35" i="268" s="1"/>
  <c r="G286" i="324"/>
  <c r="G34" i="268" s="1"/>
  <c r="H286" i="324"/>
  <c r="H34" i="268" s="1"/>
  <c r="F286" i="324"/>
  <c r="F34" i="268" s="1"/>
  <c r="E286" i="324"/>
  <c r="E34" i="268" s="1"/>
  <c r="D286" i="324"/>
  <c r="D34" i="268" s="1"/>
  <c r="G275" i="324"/>
  <c r="G33" i="268" s="1"/>
  <c r="H275" i="324"/>
  <c r="H33" i="268" s="1"/>
  <c r="F275" i="324"/>
  <c r="F33" i="268" s="1"/>
  <c r="E275" i="324"/>
  <c r="E33" i="268" s="1"/>
  <c r="D275" i="324"/>
  <c r="D33" i="268" s="1"/>
  <c r="G264" i="324"/>
  <c r="G32" i="268" s="1"/>
  <c r="H264" i="324"/>
  <c r="F264" i="324"/>
  <c r="F32" i="268" s="1"/>
  <c r="E264" i="324"/>
  <c r="E32" i="268" s="1"/>
  <c r="D264" i="324"/>
  <c r="D32" i="268" s="1"/>
  <c r="G253" i="324"/>
  <c r="H253" i="324"/>
  <c r="H31" i="268"/>
  <c r="F253" i="324"/>
  <c r="F31" i="268"/>
  <c r="E253" i="324"/>
  <c r="E31" i="268"/>
  <c r="D253" i="324"/>
  <c r="D31" i="268"/>
  <c r="G242" i="324"/>
  <c r="G30" i="268"/>
  <c r="H242" i="324"/>
  <c r="H30" i="268"/>
  <c r="F242" i="324"/>
  <c r="F30" i="268"/>
  <c r="E242" i="324"/>
  <c r="E30" i="268"/>
  <c r="D242" i="324"/>
  <c r="D30" i="268"/>
  <c r="G231" i="324"/>
  <c r="G29" i="268" s="1"/>
  <c r="H231" i="324"/>
  <c r="H29" i="268" s="1"/>
  <c r="F231" i="324"/>
  <c r="F29" i="268" s="1"/>
  <c r="E231" i="324"/>
  <c r="E29" i="268" s="1"/>
  <c r="D231" i="324"/>
  <c r="D29" i="268"/>
  <c r="G220" i="324"/>
  <c r="G28" i="268" s="1"/>
  <c r="F220" i="324"/>
  <c r="F28" i="268" s="1"/>
  <c r="E220" i="324"/>
  <c r="E28" i="268"/>
  <c r="D220" i="324"/>
  <c r="D28" i="268"/>
  <c r="G209" i="324"/>
  <c r="G27" i="268" s="1"/>
  <c r="F209" i="324"/>
  <c r="F27" i="268" s="1"/>
  <c r="E209" i="324"/>
  <c r="E27" i="268" s="1"/>
  <c r="D209" i="324"/>
  <c r="G198" i="324"/>
  <c r="F198" i="324"/>
  <c r="F26" i="268" s="1"/>
  <c r="E198" i="324"/>
  <c r="E26" i="268" s="1"/>
  <c r="D198" i="324"/>
  <c r="D26" i="268" s="1"/>
  <c r="G187" i="324"/>
  <c r="G25" i="268" s="1"/>
  <c r="F187" i="324"/>
  <c r="F25" i="268" s="1"/>
  <c r="E187" i="324"/>
  <c r="E25" i="268" s="1"/>
  <c r="D187" i="324"/>
  <c r="D25" i="268" s="1"/>
  <c r="G176" i="324"/>
  <c r="G24" i="268" s="1"/>
  <c r="F176" i="324"/>
  <c r="E176" i="324"/>
  <c r="E24" i="268"/>
  <c r="D176" i="324"/>
  <c r="D24" i="268"/>
  <c r="C319" i="324"/>
  <c r="C37" i="268"/>
  <c r="C308" i="324"/>
  <c r="C36" i="268"/>
  <c r="C297" i="324"/>
  <c r="C35" i="268"/>
  <c r="C286" i="324"/>
  <c r="C34" i="268"/>
  <c r="C275" i="324"/>
  <c r="C33" i="268"/>
  <c r="C176" i="324"/>
  <c r="C24" i="268" s="1"/>
  <c r="C330" i="324"/>
  <c r="C38" i="268" s="1"/>
  <c r="C264" i="324"/>
  <c r="C32" i="268"/>
  <c r="C253" i="324"/>
  <c r="C31" i="268"/>
  <c r="C242" i="324"/>
  <c r="C231" i="324"/>
  <c r="C29" i="268" s="1"/>
  <c r="C220" i="324"/>
  <c r="C28" i="268" s="1"/>
  <c r="C209" i="324"/>
  <c r="C27" i="268" s="1"/>
  <c r="C198" i="324"/>
  <c r="C26" i="268" s="1"/>
  <c r="C187" i="324"/>
  <c r="C25" i="268" s="1"/>
  <c r="K161" i="324"/>
  <c r="K20" i="268"/>
  <c r="K150" i="324"/>
  <c r="K19" i="268"/>
  <c r="K139" i="324"/>
  <c r="K18" i="268"/>
  <c r="K128" i="324"/>
  <c r="K17" i="268"/>
  <c r="K117" i="324"/>
  <c r="K16" i="268"/>
  <c r="K106" i="324"/>
  <c r="K15" i="268"/>
  <c r="K95" i="324"/>
  <c r="K14" i="268"/>
  <c r="K84" i="324"/>
  <c r="K13" i="268"/>
  <c r="K73" i="324"/>
  <c r="K12" i="268"/>
  <c r="K62" i="324"/>
  <c r="K11" i="268" s="1"/>
  <c r="K7" i="324"/>
  <c r="K6" i="268" s="1"/>
  <c r="H161" i="324"/>
  <c r="H20" i="268" s="1"/>
  <c r="G161" i="324"/>
  <c r="F161" i="324"/>
  <c r="F20" i="268" s="1"/>
  <c r="E161" i="324"/>
  <c r="E20" i="268" s="1"/>
  <c r="D161" i="324"/>
  <c r="D20" i="268" s="1"/>
  <c r="H150" i="324"/>
  <c r="H19" i="268" s="1"/>
  <c r="G150" i="324"/>
  <c r="G19" i="268" s="1"/>
  <c r="I19" i="268" s="1"/>
  <c r="J19" i="268" s="1"/>
  <c r="F150" i="324"/>
  <c r="F19" i="268"/>
  <c r="E150" i="324"/>
  <c r="E19" i="268"/>
  <c r="D150" i="324"/>
  <c r="D19" i="268"/>
  <c r="H139" i="324"/>
  <c r="H18" i="268"/>
  <c r="G139" i="324"/>
  <c r="G18" i="268"/>
  <c r="I18" i="268" s="1"/>
  <c r="J18" i="268" s="1"/>
  <c r="F139" i="324"/>
  <c r="F18" i="268"/>
  <c r="E139" i="324"/>
  <c r="E18" i="268"/>
  <c r="D139" i="324"/>
  <c r="D18" i="268"/>
  <c r="H128" i="324"/>
  <c r="G128" i="324"/>
  <c r="G17" i="268" s="1"/>
  <c r="F128" i="324"/>
  <c r="F17" i="268" s="1"/>
  <c r="E128" i="324"/>
  <c r="E17" i="268" s="1"/>
  <c r="D128" i="324"/>
  <c r="D17" i="268"/>
  <c r="H117" i="324"/>
  <c r="G117" i="324"/>
  <c r="F117" i="324"/>
  <c r="F16" i="268"/>
  <c r="E117" i="324"/>
  <c r="E16" i="268"/>
  <c r="D117" i="324"/>
  <c r="D16" i="268"/>
  <c r="H106" i="324"/>
  <c r="H15" i="268"/>
  <c r="G106" i="324"/>
  <c r="G15" i="268"/>
  <c r="I15" i="268" s="1"/>
  <c r="J15" i="268" s="1"/>
  <c r="F106" i="324"/>
  <c r="F15" i="268"/>
  <c r="E106" i="324"/>
  <c r="E15" i="268"/>
  <c r="D106" i="324"/>
  <c r="D15" i="268"/>
  <c r="H95" i="324"/>
  <c r="H14" i="268"/>
  <c r="G95" i="324"/>
  <c r="F95" i="324"/>
  <c r="F14" i="268" s="1"/>
  <c r="E95" i="324"/>
  <c r="E14" i="268" s="1"/>
  <c r="D95" i="324"/>
  <c r="D14" i="268" s="1"/>
  <c r="H84" i="324"/>
  <c r="H13" i="268" s="1"/>
  <c r="G84" i="324"/>
  <c r="G13" i="268"/>
  <c r="F84" i="324"/>
  <c r="F13" i="268"/>
  <c r="E84" i="324"/>
  <c r="E13" i="268"/>
  <c r="D84" i="324"/>
  <c r="D13" i="268"/>
  <c r="H73" i="324"/>
  <c r="H12" i="268"/>
  <c r="G73" i="324"/>
  <c r="G12" i="268"/>
  <c r="I12" i="268" s="1"/>
  <c r="J12" i="268" s="1"/>
  <c r="F73" i="324"/>
  <c r="F12" i="268"/>
  <c r="E73" i="324"/>
  <c r="E12" i="268"/>
  <c r="D73" i="324"/>
  <c r="D12" i="268"/>
  <c r="G62" i="324"/>
  <c r="F62" i="324"/>
  <c r="F11" i="268" s="1"/>
  <c r="E62" i="324"/>
  <c r="D62" i="324"/>
  <c r="D11" i="268" s="1"/>
  <c r="G51" i="324"/>
  <c r="G10" i="268" s="1"/>
  <c r="F51" i="324"/>
  <c r="F10" i="268" s="1"/>
  <c r="E51" i="324"/>
  <c r="E10" i="268" s="1"/>
  <c r="D51" i="324"/>
  <c r="G40" i="324"/>
  <c r="G9" i="268" s="1"/>
  <c r="F40" i="324"/>
  <c r="F9" i="268" s="1"/>
  <c r="E40" i="324"/>
  <c r="E9" i="268" s="1"/>
  <c r="D40" i="324"/>
  <c r="D9" i="268"/>
  <c r="G29" i="324"/>
  <c r="G8" i="268" s="1"/>
  <c r="F29" i="324"/>
  <c r="F8" i="268" s="1"/>
  <c r="E29" i="324"/>
  <c r="E8" i="268" s="1"/>
  <c r="D29" i="324"/>
  <c r="G18" i="324"/>
  <c r="F18" i="324"/>
  <c r="F7" i="268" s="1"/>
  <c r="E18" i="324"/>
  <c r="E7" i="268" s="1"/>
  <c r="D18" i="324"/>
  <c r="D7" i="268" s="1"/>
  <c r="G7" i="324"/>
  <c r="G6" i="268" s="1"/>
  <c r="F7" i="324"/>
  <c r="F6" i="268" s="1"/>
  <c r="E7" i="324"/>
  <c r="D7" i="324"/>
  <c r="D172" i="324" s="1"/>
  <c r="D6" i="268"/>
  <c r="C161" i="324"/>
  <c r="C20" i="268"/>
  <c r="C150" i="324"/>
  <c r="C19" i="268"/>
  <c r="C139" i="324"/>
  <c r="C18" i="268"/>
  <c r="C128" i="324"/>
  <c r="C17" i="268"/>
  <c r="C117" i="324"/>
  <c r="C16" i="268"/>
  <c r="C106" i="324"/>
  <c r="C15" i="268"/>
  <c r="C95" i="324"/>
  <c r="C14" i="268"/>
  <c r="C84" i="324"/>
  <c r="C13" i="268"/>
  <c r="C73" i="324"/>
  <c r="C12" i="268"/>
  <c r="C62" i="324"/>
  <c r="C11" i="268" s="1"/>
  <c r="C51" i="324"/>
  <c r="C40" i="324"/>
  <c r="C9" i="268" s="1"/>
  <c r="C29" i="324"/>
  <c r="C8" i="268" s="1"/>
  <c r="C18" i="324"/>
  <c r="C7" i="268" s="1"/>
  <c r="C7" i="324"/>
  <c r="C6" i="268" s="1"/>
  <c r="D70" i="268"/>
  <c r="D74" i="268"/>
  <c r="E70" i="268"/>
  <c r="E74" i="268"/>
  <c r="F70" i="268"/>
  <c r="G70" i="268"/>
  <c r="G74" i="268" s="1"/>
  <c r="C70" i="268"/>
  <c r="C74" i="268" s="1"/>
  <c r="A75" i="100"/>
  <c r="C18" i="177"/>
  <c r="B43" i="267" s="1"/>
  <c r="D13" i="242"/>
  <c r="D27" i="242"/>
  <c r="D69" i="242"/>
  <c r="D135" i="242"/>
  <c r="D148" i="242"/>
  <c r="E13" i="242"/>
  <c r="E27" i="242"/>
  <c r="E69" i="242"/>
  <c r="E135" i="242"/>
  <c r="E148" i="242"/>
  <c r="F13" i="242"/>
  <c r="F27" i="242"/>
  <c r="F69" i="242"/>
  <c r="F135" i="242"/>
  <c r="F148" i="242"/>
  <c r="G13" i="242"/>
  <c r="G27" i="242"/>
  <c r="I27" i="242" s="1"/>
  <c r="G69" i="242"/>
  <c r="G135" i="242"/>
  <c r="I135" i="242" s="1"/>
  <c r="G148" i="242"/>
  <c r="H13" i="242"/>
  <c r="H27" i="242"/>
  <c r="H69" i="242"/>
  <c r="H135" i="242"/>
  <c r="H148" i="242"/>
  <c r="I148" i="242" s="1"/>
  <c r="J148" i="242" s="1"/>
  <c r="K13" i="242"/>
  <c r="K27" i="242"/>
  <c r="K69" i="242"/>
  <c r="K135" i="242"/>
  <c r="K148" i="242"/>
  <c r="C13" i="242"/>
  <c r="C27" i="242"/>
  <c r="C69" i="242"/>
  <c r="C135" i="242"/>
  <c r="C148" i="242"/>
  <c r="K36" i="272"/>
  <c r="K33" i="272"/>
  <c r="I38" i="272"/>
  <c r="J38" i="272" s="1"/>
  <c r="H37" i="272"/>
  <c r="G35" i="272"/>
  <c r="H33" i="272"/>
  <c r="F33" i="272"/>
  <c r="C38" i="272"/>
  <c r="C35" i="272"/>
  <c r="K160" i="323"/>
  <c r="K20" i="272" s="1"/>
  <c r="K149" i="323"/>
  <c r="K19" i="272" s="1"/>
  <c r="K138" i="323"/>
  <c r="K18" i="272" s="1"/>
  <c r="K127" i="323"/>
  <c r="K17" i="272" s="1"/>
  <c r="K116" i="323"/>
  <c r="K16" i="272" s="1"/>
  <c r="K105" i="323"/>
  <c r="K15" i="272" s="1"/>
  <c r="K94" i="323"/>
  <c r="K14" i="272" s="1"/>
  <c r="G105" i="323"/>
  <c r="G15" i="272" s="1"/>
  <c r="H105" i="323"/>
  <c r="G116" i="323"/>
  <c r="G16" i="272"/>
  <c r="H116" i="323"/>
  <c r="H16" i="272"/>
  <c r="G127" i="323"/>
  <c r="G17" i="272"/>
  <c r="H127" i="323"/>
  <c r="H17" i="272"/>
  <c r="G138" i="323"/>
  <c r="H138" i="323"/>
  <c r="H18" i="272" s="1"/>
  <c r="G149" i="323"/>
  <c r="G19" i="272" s="1"/>
  <c r="H149" i="323"/>
  <c r="H19" i="272" s="1"/>
  <c r="I19" i="272"/>
  <c r="J19" i="272" s="1"/>
  <c r="G160" i="323"/>
  <c r="H160" i="323"/>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27" i="322"/>
  <c r="B73" i="100" s="1"/>
  <c r="B4" i="331" s="1"/>
  <c r="B8" i="331" s="1"/>
  <c r="C7" i="330"/>
  <c r="C7" i="241" s="1"/>
  <c r="C24" i="330"/>
  <c r="C9" i="241"/>
  <c r="C87" i="330"/>
  <c r="C18" i="241" s="1"/>
  <c r="C92" i="330"/>
  <c r="C19" i="241" s="1"/>
  <c r="C100" i="330"/>
  <c r="C21" i="241" s="1"/>
  <c r="C104" i="330"/>
  <c r="C22" i="241" s="1"/>
  <c r="C108" i="330"/>
  <c r="C23" i="241"/>
  <c r="K7" i="330"/>
  <c r="K24" i="330"/>
  <c r="K9" i="241" s="1"/>
  <c r="K87" i="330"/>
  <c r="K92" i="330"/>
  <c r="K100" i="330"/>
  <c r="K21" i="241" s="1"/>
  <c r="K20" i="241" s="1"/>
  <c r="K104" i="330"/>
  <c r="K22" i="241"/>
  <c r="K108" i="330"/>
  <c r="K23" i="241"/>
  <c r="K118" i="330"/>
  <c r="K25" i="241"/>
  <c r="K129" i="330"/>
  <c r="K30" i="241" s="1"/>
  <c r="K177" i="330"/>
  <c r="K36" i="241" s="1"/>
  <c r="K198" i="330"/>
  <c r="K40" i="241"/>
  <c r="K214" i="330"/>
  <c r="K42" i="241" s="1"/>
  <c r="K222" i="330"/>
  <c r="K44" i="241" s="1"/>
  <c r="K226" i="330"/>
  <c r="H24" i="330"/>
  <c r="H9" i="241"/>
  <c r="H92" i="330"/>
  <c r="H19" i="241" s="1"/>
  <c r="H108" i="330"/>
  <c r="H23" i="241" s="1"/>
  <c r="H177" i="330"/>
  <c r="H36" i="241" s="1"/>
  <c r="H189" i="330"/>
  <c r="H38" i="241" s="1"/>
  <c r="H222" i="330"/>
  <c r="H226" i="330"/>
  <c r="H45" i="241" s="1"/>
  <c r="G7" i="330"/>
  <c r="G7" i="241"/>
  <c r="G24" i="330"/>
  <c r="I24" i="330" s="1"/>
  <c r="J24" i="330" s="1"/>
  <c r="G87" i="330"/>
  <c r="G18" i="241" s="1"/>
  <c r="G92" i="330"/>
  <c r="G100" i="330"/>
  <c r="G21" i="241" s="1"/>
  <c r="G104" i="330"/>
  <c r="G22" i="241" s="1"/>
  <c r="G108" i="330"/>
  <c r="G23" i="241" s="1"/>
  <c r="G118" i="330"/>
  <c r="G25" i="241" s="1"/>
  <c r="G129" i="330"/>
  <c r="G30" i="241" s="1"/>
  <c r="G177" i="330"/>
  <c r="G36" i="241" s="1"/>
  <c r="G189" i="330"/>
  <c r="G38" i="241" s="1"/>
  <c r="G198" i="330"/>
  <c r="G40" i="241" s="1"/>
  <c r="G209" i="330"/>
  <c r="G41" i="241" s="1"/>
  <c r="G214" i="330"/>
  <c r="G42" i="241" s="1"/>
  <c r="G222" i="330"/>
  <c r="G44" i="241" s="1"/>
  <c r="G226" i="330"/>
  <c r="G45" i="241" s="1"/>
  <c r="G230" i="330"/>
  <c r="G46" i="241" s="1"/>
  <c r="G240" i="330"/>
  <c r="G48" i="241" s="1"/>
  <c r="F7" i="330"/>
  <c r="F24" i="330"/>
  <c r="F9" i="241" s="1"/>
  <c r="F87" i="330"/>
  <c r="F18" i="241" s="1"/>
  <c r="F92" i="330"/>
  <c r="F19" i="241" s="1"/>
  <c r="F100" i="330"/>
  <c r="F21" i="241" s="1"/>
  <c r="F104" i="330"/>
  <c r="F22" i="241" s="1"/>
  <c r="F108" i="330"/>
  <c r="F118" i="330"/>
  <c r="F25" i="241" s="1"/>
  <c r="F129" i="330"/>
  <c r="F30" i="241" s="1"/>
  <c r="F177" i="330"/>
  <c r="F36" i="241" s="1"/>
  <c r="F189" i="330"/>
  <c r="F38" i="241" s="1"/>
  <c r="F198" i="330"/>
  <c r="F40" i="241" s="1"/>
  <c r="F209" i="330"/>
  <c r="F214" i="330"/>
  <c r="F42" i="241" s="1"/>
  <c r="F222" i="330"/>
  <c r="F44" i="241" s="1"/>
  <c r="F226" i="330"/>
  <c r="F45" i="241" s="1"/>
  <c r="F230" i="330"/>
  <c r="F46" i="241" s="1"/>
  <c r="F240" i="330"/>
  <c r="F48" i="241" s="1"/>
  <c r="E7" i="330"/>
  <c r="E7" i="241" s="1"/>
  <c r="E24" i="330"/>
  <c r="E9" i="241" s="1"/>
  <c r="E6" i="241" s="1"/>
  <c r="E87" i="330"/>
  <c r="E92" i="330"/>
  <c r="E19" i="241" s="1"/>
  <c r="E100" i="330"/>
  <c r="E21" i="241" s="1"/>
  <c r="E104" i="330"/>
  <c r="E108" i="330"/>
  <c r="E23" i="241" s="1"/>
  <c r="E118" i="330"/>
  <c r="E25" i="241" s="1"/>
  <c r="E30" i="241"/>
  <c r="E177" i="330"/>
  <c r="E36" i="241" s="1"/>
  <c r="E189" i="330"/>
  <c r="E38" i="241" s="1"/>
  <c r="E198" i="330"/>
  <c r="E209" i="330"/>
  <c r="E214" i="330"/>
  <c r="E42" i="241" s="1"/>
  <c r="E222" i="330"/>
  <c r="E44" i="241" s="1"/>
  <c r="E226" i="330"/>
  <c r="E230" i="330"/>
  <c r="E46" i="241" s="1"/>
  <c r="E240" i="330"/>
  <c r="E48" i="241" s="1"/>
  <c r="D7" i="330"/>
  <c r="D7" i="241"/>
  <c r="D24" i="330"/>
  <c r="D9" i="241"/>
  <c r="D87" i="330"/>
  <c r="D18" i="241" s="1"/>
  <c r="D92" i="330"/>
  <c r="D19" i="241" s="1"/>
  <c r="D100" i="330"/>
  <c r="D104" i="330"/>
  <c r="D108" i="330"/>
  <c r="D23" i="241" s="1"/>
  <c r="D118" i="330"/>
  <c r="D25" i="241" s="1"/>
  <c r="D129" i="330"/>
  <c r="D32" i="241"/>
  <c r="D177" i="330"/>
  <c r="D36" i="241" s="1"/>
  <c r="D189" i="330"/>
  <c r="D38" i="241"/>
  <c r="D198" i="330"/>
  <c r="D40" i="241"/>
  <c r="D209" i="330"/>
  <c r="D41" i="241"/>
  <c r="D214" i="330"/>
  <c r="D42" i="241"/>
  <c r="D222" i="330"/>
  <c r="D44" i="241"/>
  <c r="D226" i="330"/>
  <c r="D45" i="241"/>
  <c r="D230" i="330"/>
  <c r="D221" i="330"/>
  <c r="D240" i="330"/>
  <c r="D48" i="241"/>
  <c r="C240" i="330"/>
  <c r="C48" i="241" s="1"/>
  <c r="C230" i="330"/>
  <c r="C46" i="241" s="1"/>
  <c r="C226" i="330"/>
  <c r="C45" i="241" s="1"/>
  <c r="C222" i="330"/>
  <c r="C44" i="241" s="1"/>
  <c r="C214" i="330"/>
  <c r="C42" i="241" s="1"/>
  <c r="C209" i="330"/>
  <c r="C41" i="241" s="1"/>
  <c r="C198" i="330"/>
  <c r="C189" i="330"/>
  <c r="C38" i="241" s="1"/>
  <c r="C177" i="330"/>
  <c r="C129" i="330"/>
  <c r="C30" i="241"/>
  <c r="I246" i="330"/>
  <c r="J246" i="330" s="1"/>
  <c r="I242" i="330"/>
  <c r="J242" i="330" s="1"/>
  <c r="I241" i="330"/>
  <c r="J241" i="330"/>
  <c r="I239" i="330"/>
  <c r="J239" i="330"/>
  <c r="I234" i="330"/>
  <c r="J234" i="330"/>
  <c r="I232" i="330"/>
  <c r="J232" i="330" s="1"/>
  <c r="I227" i="330"/>
  <c r="J227" i="330" s="1"/>
  <c r="I225" i="330"/>
  <c r="J225" i="330" s="1"/>
  <c r="I220" i="330"/>
  <c r="J220" i="330" s="1"/>
  <c r="I216" i="330"/>
  <c r="J216" i="330" s="1"/>
  <c r="I215" i="330"/>
  <c r="J215" i="330" s="1"/>
  <c r="I212" i="330"/>
  <c r="J212" i="330" s="1"/>
  <c r="I210" i="330"/>
  <c r="J210" i="330" s="1"/>
  <c r="I199" i="330"/>
  <c r="J199" i="330" s="1"/>
  <c r="I196" i="330"/>
  <c r="J196" i="330" s="1"/>
  <c r="I195" i="330"/>
  <c r="J195" i="330" s="1"/>
  <c r="I190" i="330"/>
  <c r="J190" i="330" s="1"/>
  <c r="I185" i="330"/>
  <c r="J185" i="330" s="1"/>
  <c r="I182" i="330"/>
  <c r="J182" i="330" s="1"/>
  <c r="I181" i="330"/>
  <c r="J181" i="330" s="1"/>
  <c r="I179" i="330"/>
  <c r="J179" i="330" s="1"/>
  <c r="I178" i="330"/>
  <c r="J178" i="330" s="1"/>
  <c r="I124" i="330"/>
  <c r="J124" i="330" s="1"/>
  <c r="I123" i="330"/>
  <c r="J123" i="330" s="1"/>
  <c r="I122" i="330"/>
  <c r="J122" i="330" s="1"/>
  <c r="I119" i="330"/>
  <c r="J119" i="330"/>
  <c r="I112" i="330"/>
  <c r="J112" i="330"/>
  <c r="I110" i="330"/>
  <c r="J110" i="330" s="1"/>
  <c r="I109" i="330"/>
  <c r="J109" i="330" s="1"/>
  <c r="I107" i="330"/>
  <c r="J107" i="330" s="1"/>
  <c r="I105" i="330"/>
  <c r="J105" i="330" s="1"/>
  <c r="I103" i="330"/>
  <c r="J103" i="330" s="1"/>
  <c r="I98" i="330"/>
  <c r="J98" i="330" s="1"/>
  <c r="I97" i="330"/>
  <c r="J97" i="330" s="1"/>
  <c r="I93" i="330"/>
  <c r="J93" i="330" s="1"/>
  <c r="I91" i="330"/>
  <c r="J91" i="330" s="1"/>
  <c r="I90" i="330"/>
  <c r="J90" i="330" s="1"/>
  <c r="I89" i="330"/>
  <c r="J89" i="330" s="1"/>
  <c r="I86" i="330"/>
  <c r="J86" i="330" s="1"/>
  <c r="I85" i="330"/>
  <c r="J85" i="330" s="1"/>
  <c r="I84" i="330"/>
  <c r="J84" i="330" s="1"/>
  <c r="I74" i="330"/>
  <c r="J74" i="330" s="1"/>
  <c r="I73" i="330"/>
  <c r="J73" i="330" s="1"/>
  <c r="I72" i="330"/>
  <c r="J72" i="330" s="1"/>
  <c r="I63" i="330"/>
  <c r="J63" i="330" s="1"/>
  <c r="I48" i="330"/>
  <c r="J48" i="330" s="1"/>
  <c r="I47" i="330"/>
  <c r="J47" i="330" s="1"/>
  <c r="I46" i="330"/>
  <c r="J46" i="330" s="1"/>
  <c r="I45" i="330"/>
  <c r="J45" i="330" s="1"/>
  <c r="I44" i="330"/>
  <c r="J44" i="330" s="1"/>
  <c r="I43" i="330"/>
  <c r="J43" i="330" s="1"/>
  <c r="I42" i="330"/>
  <c r="J42" i="330" s="1"/>
  <c r="I41" i="330"/>
  <c r="J41" i="330" s="1"/>
  <c r="I25" i="330"/>
  <c r="J25" i="330" s="1"/>
  <c r="I8" i="330"/>
  <c r="J8" i="330" s="1"/>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F83" i="100"/>
  <c r="F82" i="100"/>
  <c r="F80" i="100"/>
  <c r="F78" i="100"/>
  <c r="F98" i="100"/>
  <c r="F97" i="100"/>
  <c r="F96" i="100"/>
  <c r="F95" i="100"/>
  <c r="B92" i="100"/>
  <c r="B89" i="100"/>
  <c r="B88" i="100"/>
  <c r="B87" i="100"/>
  <c r="B86" i="100"/>
  <c r="B85" i="100"/>
  <c r="B84" i="100"/>
  <c r="E98" i="100"/>
  <c r="B98" i="100" s="1"/>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c r="G37" i="177"/>
  <c r="F37" i="177"/>
  <c r="E45" i="267" s="1"/>
  <c r="E37" i="177"/>
  <c r="D45" i="267" s="1"/>
  <c r="D37" i="177"/>
  <c r="C45" i="267" s="1"/>
  <c r="C37" i="177"/>
  <c r="B45" i="267" s="1"/>
  <c r="K28" i="177"/>
  <c r="J44" i="267" s="1"/>
  <c r="G28" i="177"/>
  <c r="F44" i="267" s="1"/>
  <c r="F28" i="177"/>
  <c r="E44" i="267" s="1"/>
  <c r="E28" i="177"/>
  <c r="D44" i="267" s="1"/>
  <c r="C28" i="177"/>
  <c r="B44" i="267" s="1"/>
  <c r="K18" i="177"/>
  <c r="J43" i="267" s="1"/>
  <c r="G18" i="177"/>
  <c r="F43" i="267" s="1"/>
  <c r="F18" i="177"/>
  <c r="E18" i="177"/>
  <c r="D43" i="267"/>
  <c r="E77" i="100"/>
  <c r="E46" i="267"/>
  <c r="G48" i="178"/>
  <c r="J40" i="267" s="1"/>
  <c r="G40" i="178"/>
  <c r="J39" i="267" s="1"/>
  <c r="E48" i="178"/>
  <c r="D40" i="267" s="1"/>
  <c r="D48" i="178"/>
  <c r="E49" i="174" s="1"/>
  <c r="E10" i="174" s="1"/>
  <c r="E40" i="178"/>
  <c r="D39" i="267" s="1"/>
  <c r="D40" i="178"/>
  <c r="C39" i="267"/>
  <c r="E35" i="178"/>
  <c r="D35" i="178"/>
  <c r="E53" i="174" s="1"/>
  <c r="E13" i="178"/>
  <c r="E26" i="178" s="1"/>
  <c r="D13" i="178"/>
  <c r="C36" i="267"/>
  <c r="C48" i="178"/>
  <c r="B40" i="267" s="1"/>
  <c r="C40" i="178"/>
  <c r="C41" i="178" s="1"/>
  <c r="C35" i="178"/>
  <c r="B38" i="267"/>
  <c r="C13" i="178"/>
  <c r="J32" i="267"/>
  <c r="J31" i="267"/>
  <c r="G32" i="267"/>
  <c r="F32" i="267"/>
  <c r="E32" i="267"/>
  <c r="D32" i="267"/>
  <c r="C32" i="267"/>
  <c r="F31" i="267"/>
  <c r="E31" i="267"/>
  <c r="D31" i="267"/>
  <c r="C31" i="267"/>
  <c r="B32" i="267"/>
  <c r="B31" i="267"/>
  <c r="J24" i="267"/>
  <c r="G24" i="267"/>
  <c r="F24" i="267"/>
  <c r="H24" i="267"/>
  <c r="I24" i="267" s="1"/>
  <c r="E24" i="267"/>
  <c r="D24" i="267"/>
  <c r="C24" i="267"/>
  <c r="B24" i="267"/>
  <c r="J6" i="267"/>
  <c r="J21" i="267"/>
  <c r="J22" i="267"/>
  <c r="G22" i="267"/>
  <c r="F22" i="267"/>
  <c r="H22" i="267" s="1"/>
  <c r="I22" i="267" s="1"/>
  <c r="E22" i="267"/>
  <c r="D22" i="267"/>
  <c r="C22" i="267"/>
  <c r="F21" i="267"/>
  <c r="E21" i="267"/>
  <c r="D21" i="267"/>
  <c r="C21" i="267"/>
  <c r="B22" i="267"/>
  <c r="B21" i="267"/>
  <c r="G36" i="182"/>
  <c r="F36" i="182"/>
  <c r="E36" i="182"/>
  <c r="D36" i="182"/>
  <c r="C36" i="182"/>
  <c r="C38" i="182" s="1"/>
  <c r="C42" i="182" s="1"/>
  <c r="C44" i="182" s="1"/>
  <c r="C46" i="182" s="1"/>
  <c r="C48" i="182" s="1"/>
  <c r="F6" i="267"/>
  <c r="F9" i="267"/>
  <c r="G6" i="267"/>
  <c r="I6" i="182"/>
  <c r="J6" i="182" s="1"/>
  <c r="I7" i="182"/>
  <c r="J7" i="182" s="1"/>
  <c r="I10" i="182"/>
  <c r="J10" i="182" s="1"/>
  <c r="E6" i="267"/>
  <c r="E9" i="267"/>
  <c r="D6" i="267"/>
  <c r="D11" i="267" s="1"/>
  <c r="D9" i="267"/>
  <c r="C6" i="267"/>
  <c r="C9" i="267"/>
  <c r="B6" i="267"/>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E104" i="172" s="1"/>
  <c r="K10" i="173"/>
  <c r="F104" i="172" s="1"/>
  <c r="K11" i="173"/>
  <c r="G104" i="172" s="1"/>
  <c r="K12" i="173"/>
  <c r="H104" i="172" s="1"/>
  <c r="K13" i="173"/>
  <c r="I104" i="172" s="1"/>
  <c r="K14" i="173"/>
  <c r="J104" i="172" s="1"/>
  <c r="C14" i="175"/>
  <c r="B50" i="267" s="1"/>
  <c r="D14" i="175"/>
  <c r="C53" i="172" s="1"/>
  <c r="E14" i="175"/>
  <c r="D53" i="172" s="1"/>
  <c r="F14" i="175"/>
  <c r="E50" i="267" s="1"/>
  <c r="G14" i="175"/>
  <c r="F50" i="267" s="1"/>
  <c r="H14" i="175"/>
  <c r="G50" i="267" s="1"/>
  <c r="I14" i="175"/>
  <c r="J14" i="175"/>
  <c r="I53" i="172" s="1"/>
  <c r="K40" i="177"/>
  <c r="B29" i="267"/>
  <c r="C6" i="323"/>
  <c r="C17" i="323"/>
  <c r="C7" i="272" s="1"/>
  <c r="C28" i="323"/>
  <c r="C8" i="272" s="1"/>
  <c r="C39" i="323"/>
  <c r="C9" i="272" s="1"/>
  <c r="C50" i="323"/>
  <c r="C10" i="272" s="1"/>
  <c r="C61" i="323"/>
  <c r="C11" i="272" s="1"/>
  <c r="C72" i="323"/>
  <c r="C83" i="323"/>
  <c r="C13" i="272"/>
  <c r="C94" i="323"/>
  <c r="C14" i="272"/>
  <c r="C105" i="323"/>
  <c r="C15" i="272"/>
  <c r="H72" i="323"/>
  <c r="H12" i="272"/>
  <c r="H83" i="323"/>
  <c r="H13" i="272"/>
  <c r="H94" i="323"/>
  <c r="G6" i="323"/>
  <c r="G6" i="272" s="1"/>
  <c r="G17" i="323"/>
  <c r="G7" i="272" s="1"/>
  <c r="G28" i="323"/>
  <c r="G8" i="272" s="1"/>
  <c r="G39" i="323"/>
  <c r="G9" i="272" s="1"/>
  <c r="G50" i="323"/>
  <c r="G61" i="323"/>
  <c r="G11" i="272" s="1"/>
  <c r="G72" i="323"/>
  <c r="G12" i="272" s="1"/>
  <c r="G83" i="323"/>
  <c r="G94" i="323"/>
  <c r="G14" i="272" s="1"/>
  <c r="I14" i="272" s="1"/>
  <c r="J14" i="272" s="1"/>
  <c r="D6" i="323"/>
  <c r="D17" i="323"/>
  <c r="D7" i="272" s="1"/>
  <c r="D28" i="323"/>
  <c r="D8" i="272" s="1"/>
  <c r="D39" i="323"/>
  <c r="D9" i="272" s="1"/>
  <c r="D50" i="323"/>
  <c r="D10" i="272" s="1"/>
  <c r="D61" i="323"/>
  <c r="D11" i="272" s="1"/>
  <c r="D72" i="323"/>
  <c r="D83" i="323"/>
  <c r="D13" i="272"/>
  <c r="D94" i="323"/>
  <c r="D14" i="272"/>
  <c r="E6" i="323"/>
  <c r="E17" i="323"/>
  <c r="E7" i="272" s="1"/>
  <c r="E28" i="323"/>
  <c r="E8" i="272" s="1"/>
  <c r="E39" i="323"/>
  <c r="E50" i="323"/>
  <c r="E10" i="272" s="1"/>
  <c r="E61" i="323"/>
  <c r="E11" i="272" s="1"/>
  <c r="E72" i="323"/>
  <c r="E12" i="272"/>
  <c r="E83" i="323"/>
  <c r="E13" i="272"/>
  <c r="E94" i="323"/>
  <c r="E14" i="272"/>
  <c r="F6" i="323"/>
  <c r="F6" i="272" s="1"/>
  <c r="F17" i="323"/>
  <c r="F7" i="272" s="1"/>
  <c r="F28" i="323"/>
  <c r="F8" i="272" s="1"/>
  <c r="F39" i="323"/>
  <c r="F9" i="272" s="1"/>
  <c r="F50" i="323"/>
  <c r="F10" i="272" s="1"/>
  <c r="F61" i="323"/>
  <c r="F11" i="272" s="1"/>
  <c r="F72" i="323"/>
  <c r="F12" i="272"/>
  <c r="F83" i="323"/>
  <c r="F13" i="272"/>
  <c r="F94" i="323"/>
  <c r="F14" i="272"/>
  <c r="K6" i="323"/>
  <c r="K6" i="272" s="1"/>
  <c r="K72" i="323"/>
  <c r="K12" i="272" s="1"/>
  <c r="K83" i="323"/>
  <c r="K13" i="272" s="1"/>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s="1"/>
  <c r="I230" i="323"/>
  <c r="J230" i="323" s="1"/>
  <c r="I228" i="323"/>
  <c r="J228" i="323"/>
  <c r="I227" i="323"/>
  <c r="J227" i="323"/>
  <c r="I226" i="323"/>
  <c r="J226" i="323"/>
  <c r="I225" i="323"/>
  <c r="J225" i="323"/>
  <c r="I224" i="323"/>
  <c r="J224" i="323"/>
  <c r="I222" i="323"/>
  <c r="J222" i="323" s="1"/>
  <c r="I219" i="323"/>
  <c r="J219" i="323" s="1"/>
  <c r="I217" i="323"/>
  <c r="J217" i="323"/>
  <c r="I216" i="323"/>
  <c r="J216" i="323"/>
  <c r="I215" i="323"/>
  <c r="J215" i="323"/>
  <c r="I214" i="323"/>
  <c r="J214" i="323"/>
  <c r="I213" i="323"/>
  <c r="J213" i="323"/>
  <c r="I212" i="323"/>
  <c r="J212" i="323" s="1"/>
  <c r="I208" i="323"/>
  <c r="J208" i="323" s="1"/>
  <c r="I206" i="323"/>
  <c r="J206" i="323"/>
  <c r="I205" i="323"/>
  <c r="J205" i="323"/>
  <c r="I204" i="323"/>
  <c r="J204" i="323"/>
  <c r="I203" i="323"/>
  <c r="J203" i="323"/>
  <c r="I202" i="323"/>
  <c r="J202" i="323"/>
  <c r="I201" i="323"/>
  <c r="J201" i="323"/>
  <c r="I200" i="323"/>
  <c r="J200" i="323" s="1"/>
  <c r="I195" i="323"/>
  <c r="J195" i="323" s="1"/>
  <c r="I194" i="323"/>
  <c r="J194" i="323" s="1"/>
  <c r="I193" i="323"/>
  <c r="J193" i="323" s="1"/>
  <c r="I192" i="323"/>
  <c r="J192" i="323" s="1"/>
  <c r="I191" i="323"/>
  <c r="J191" i="323" s="1"/>
  <c r="I190" i="323"/>
  <c r="J190" i="323" s="1"/>
  <c r="I186" i="323"/>
  <c r="J186" i="323" s="1"/>
  <c r="I184" i="323"/>
  <c r="J184" i="323" s="1"/>
  <c r="I183" i="323"/>
  <c r="J183" i="323" s="1"/>
  <c r="I182" i="323"/>
  <c r="J182" i="323" s="1"/>
  <c r="I181" i="323"/>
  <c r="J181" i="323" s="1"/>
  <c r="I180" i="323"/>
  <c r="J180" i="323" s="1"/>
  <c r="I179" i="323"/>
  <c r="J179" i="323" s="1"/>
  <c r="I178" i="323"/>
  <c r="J178"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s="1"/>
  <c r="I60" i="323"/>
  <c r="J60" i="323" s="1"/>
  <c r="I59" i="323"/>
  <c r="J59" i="323" s="1"/>
  <c r="I58" i="323"/>
  <c r="J58" i="323" s="1"/>
  <c r="I57" i="323"/>
  <c r="J57" i="323" s="1"/>
  <c r="I56" i="323"/>
  <c r="J56" i="323" s="1"/>
  <c r="I55" i="323"/>
  <c r="J55" i="323" s="1"/>
  <c r="I54" i="323"/>
  <c r="J54" i="323" s="1"/>
  <c r="I51" i="323"/>
  <c r="J51" i="323" s="1"/>
  <c r="I49" i="323"/>
  <c r="J49" i="323" s="1"/>
  <c r="I48" i="323"/>
  <c r="J48" i="323" s="1"/>
  <c r="I47" i="323"/>
  <c r="J47" i="323" s="1"/>
  <c r="I46" i="323"/>
  <c r="J46" i="323" s="1"/>
  <c r="I45" i="323"/>
  <c r="J45" i="323" s="1"/>
  <c r="I44" i="323"/>
  <c r="J44" i="323" s="1"/>
  <c r="I42" i="323"/>
  <c r="J42" i="323" s="1"/>
  <c r="I38" i="323"/>
  <c r="J38" i="323" s="1"/>
  <c r="I37" i="323"/>
  <c r="J37" i="323" s="1"/>
  <c r="I36" i="323"/>
  <c r="J36" i="323" s="1"/>
  <c r="I35" i="323"/>
  <c r="J35" i="323" s="1"/>
  <c r="I34" i="323"/>
  <c r="J34" i="323" s="1"/>
  <c r="I33" i="323"/>
  <c r="J33" i="323" s="1"/>
  <c r="I30" i="323"/>
  <c r="J30" i="323" s="1"/>
  <c r="I27" i="323"/>
  <c r="J27" i="323"/>
  <c r="I26" i="323"/>
  <c r="J26" i="323"/>
  <c r="I25" i="323"/>
  <c r="J25" i="323"/>
  <c r="I24" i="323"/>
  <c r="J24" i="323"/>
  <c r="I23" i="323"/>
  <c r="J23" i="323"/>
  <c r="I22" i="323"/>
  <c r="J22" i="323" s="1"/>
  <c r="I19" i="323"/>
  <c r="J19" i="323" s="1"/>
  <c r="I16" i="323"/>
  <c r="J16" i="323"/>
  <c r="I15" i="323"/>
  <c r="J15" i="323"/>
  <c r="I14" i="323"/>
  <c r="J14" i="323"/>
  <c r="I13" i="323"/>
  <c r="J13" i="323"/>
  <c r="I12" i="323"/>
  <c r="J12" i="323"/>
  <c r="I11" i="323"/>
  <c r="J11" i="323"/>
  <c r="I10" i="323"/>
  <c r="J10" i="323" s="1"/>
  <c r="I9" i="323"/>
  <c r="J9" i="323" s="1"/>
  <c r="I7" i="323"/>
  <c r="J7" i="323" s="1"/>
  <c r="K3" i="323"/>
  <c r="J3" i="323"/>
  <c r="I3" i="323"/>
  <c r="H3" i="323"/>
  <c r="G3" i="323"/>
  <c r="F3" i="323"/>
  <c r="E3" i="323"/>
  <c r="D3" i="323"/>
  <c r="C3" i="323"/>
  <c r="A342" i="323"/>
  <c r="W170" i="323"/>
  <c r="W338" i="323"/>
  <c r="W340" i="323" s="1"/>
  <c r="V170" i="323"/>
  <c r="V340" i="323" s="1"/>
  <c r="V338" i="323"/>
  <c r="U170" i="323"/>
  <c r="U338" i="323"/>
  <c r="U340" i="323"/>
  <c r="T170" i="323"/>
  <c r="T338" i="323"/>
  <c r="S170" i="323"/>
  <c r="S338" i="323"/>
  <c r="S340" i="323" s="1"/>
  <c r="R170" i="323"/>
  <c r="R338" i="323"/>
  <c r="Q170" i="323"/>
  <c r="Q338" i="323"/>
  <c r="Q340" i="323"/>
  <c r="P170" i="323"/>
  <c r="P338" i="323"/>
  <c r="O170" i="323"/>
  <c r="O338" i="323"/>
  <c r="O340" i="323" s="1"/>
  <c r="N170" i="323"/>
  <c r="N338" i="323"/>
  <c r="M170" i="323"/>
  <c r="M338" i="323"/>
  <c r="M340" i="323"/>
  <c r="L170" i="323"/>
  <c r="L338" i="323"/>
  <c r="L340" i="323" s="1"/>
  <c r="A341" i="323"/>
  <c r="W3" i="323"/>
  <c r="V3" i="323"/>
  <c r="U3" i="323"/>
  <c r="T3" i="323"/>
  <c r="S3" i="323"/>
  <c r="R3" i="323"/>
  <c r="Q3" i="323"/>
  <c r="P3" i="323"/>
  <c r="O3" i="323"/>
  <c r="N3" i="323"/>
  <c r="M3" i="323"/>
  <c r="L3" i="323"/>
  <c r="L2" i="323"/>
  <c r="B2" i="323"/>
  <c r="A2" i="323"/>
  <c r="B106" i="100"/>
  <c r="A101" i="172"/>
  <c r="D12" i="272"/>
  <c r="G31" i="272"/>
  <c r="G32" i="272"/>
  <c r="K32" i="272"/>
  <c r="F27" i="272"/>
  <c r="E26" i="272"/>
  <c r="E30" i="272"/>
  <c r="D25" i="272"/>
  <c r="D31" i="272"/>
  <c r="C31" i="272"/>
  <c r="C30" i="272"/>
  <c r="C26" i="272"/>
  <c r="C12" i="272"/>
  <c r="E78" i="100"/>
  <c r="C3" i="272"/>
  <c r="A2" i="272"/>
  <c r="B2" i="272"/>
  <c r="F3" i="272"/>
  <c r="E3" i="272"/>
  <c r="D3" i="272"/>
  <c r="K3" i="272"/>
  <c r="J3" i="272"/>
  <c r="I3" i="272"/>
  <c r="H3" i="272"/>
  <c r="G3" i="272"/>
  <c r="A40" i="272"/>
  <c r="A41" i="272"/>
  <c r="E80" i="100"/>
  <c r="E53" i="182"/>
  <c r="A53" i="182"/>
  <c r="I43" i="182"/>
  <c r="J43" i="182"/>
  <c r="I27" i="182"/>
  <c r="J27" i="182" s="1"/>
  <c r="I21" i="182"/>
  <c r="J21" i="182" s="1"/>
  <c r="I20" i="182"/>
  <c r="J20" i="182" s="1"/>
  <c r="I15" i="182"/>
  <c r="J15" i="182" s="1"/>
  <c r="A49" i="182"/>
  <c r="K3" i="182"/>
  <c r="J3" i="182"/>
  <c r="I3" i="182"/>
  <c r="H3" i="182"/>
  <c r="G3" i="182"/>
  <c r="F3" i="182"/>
  <c r="E3" i="182"/>
  <c r="D3" i="182"/>
  <c r="C3" i="182"/>
  <c r="B2" i="182"/>
  <c r="A2" i="182"/>
  <c r="A344" i="324"/>
  <c r="W171" i="324"/>
  <c r="W340" i="324"/>
  <c r="W342" i="324"/>
  <c r="V171" i="324"/>
  <c r="V340" i="324"/>
  <c r="V342" i="324" s="1"/>
  <c r="U171" i="324"/>
  <c r="U340" i="324"/>
  <c r="T171" i="324"/>
  <c r="T340" i="324"/>
  <c r="T342" i="324"/>
  <c r="S171" i="324"/>
  <c r="S340" i="324"/>
  <c r="R171" i="324"/>
  <c r="R340" i="324"/>
  <c r="Q171" i="324"/>
  <c r="Q340" i="324"/>
  <c r="P171" i="324"/>
  <c r="P340" i="324"/>
  <c r="O171" i="324"/>
  <c r="O340" i="324"/>
  <c r="N171" i="324"/>
  <c r="N340" i="324"/>
  <c r="N342" i="324" s="1"/>
  <c r="M171" i="324"/>
  <c r="M340" i="324"/>
  <c r="L171" i="324"/>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4" i="324"/>
  <c r="J234" i="324" s="1"/>
  <c r="I233" i="324"/>
  <c r="J233" i="324" s="1"/>
  <c r="I232" i="324"/>
  <c r="J232" i="324" s="1"/>
  <c r="I230" i="324"/>
  <c r="J230" i="324" s="1"/>
  <c r="I229" i="324"/>
  <c r="J229" i="324" s="1"/>
  <c r="I228" i="324"/>
  <c r="J228" i="324" s="1"/>
  <c r="I227" i="324"/>
  <c r="J227" i="324" s="1"/>
  <c r="I226" i="324"/>
  <c r="J226" i="324" s="1"/>
  <c r="I225" i="324"/>
  <c r="J225" i="324" s="1"/>
  <c r="I221" i="324"/>
  <c r="J221" i="324" s="1"/>
  <c r="I219" i="324"/>
  <c r="J219" i="324"/>
  <c r="I218" i="324"/>
  <c r="J218" i="324"/>
  <c r="I217" i="324"/>
  <c r="J217" i="324"/>
  <c r="I216" i="324"/>
  <c r="J216" i="324"/>
  <c r="I215" i="324"/>
  <c r="J215" i="324"/>
  <c r="I214" i="324"/>
  <c r="J214" i="324" s="1"/>
  <c r="I213" i="324"/>
  <c r="J213" i="324" s="1"/>
  <c r="I212" i="324"/>
  <c r="J212" i="324" s="1"/>
  <c r="I211" i="324"/>
  <c r="J211" i="324" s="1"/>
  <c r="I208" i="324"/>
  <c r="J208" i="324"/>
  <c r="I207" i="324"/>
  <c r="J207" i="324"/>
  <c r="I206" i="324"/>
  <c r="J206" i="324"/>
  <c r="I205" i="324"/>
  <c r="J205" i="324"/>
  <c r="I204" i="324"/>
  <c r="J204" i="324"/>
  <c r="I203" i="324"/>
  <c r="J203" i="324"/>
  <c r="I202" i="324"/>
  <c r="J202" i="324" s="1"/>
  <c r="I200" i="324"/>
  <c r="J200" i="324" s="1"/>
  <c r="I197" i="324"/>
  <c r="J197" i="324"/>
  <c r="I196" i="324"/>
  <c r="J196" i="324"/>
  <c r="I195" i="324"/>
  <c r="J195" i="324"/>
  <c r="I194" i="324"/>
  <c r="J194" i="324"/>
  <c r="I193" i="324"/>
  <c r="J193" i="324"/>
  <c r="I192" i="324"/>
  <c r="J192" i="324" s="1"/>
  <c r="I190" i="324"/>
  <c r="J190" i="324" s="1"/>
  <c r="I189" i="324"/>
  <c r="J189" i="324" s="1"/>
  <c r="I186" i="324"/>
  <c r="J186" i="324" s="1"/>
  <c r="I185" i="324"/>
  <c r="J185" i="324" s="1"/>
  <c r="I184" i="324"/>
  <c r="J184" i="324" s="1"/>
  <c r="I183" i="324"/>
  <c r="J183" i="324" s="1"/>
  <c r="I182" i="324"/>
  <c r="J182" i="324" s="1"/>
  <c r="I181" i="324"/>
  <c r="J181" i="324" s="1"/>
  <c r="I180" i="324"/>
  <c r="J180" i="324" s="1"/>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s="1"/>
  <c r="I65" i="324"/>
  <c r="J65" i="324" s="1"/>
  <c r="I64" i="324"/>
  <c r="J64" i="324" s="1"/>
  <c r="I61" i="324"/>
  <c r="J61" i="324" s="1"/>
  <c r="I60" i="324"/>
  <c r="J60" i="324" s="1"/>
  <c r="I59" i="324"/>
  <c r="J59" i="324" s="1"/>
  <c r="I58" i="324"/>
  <c r="J58" i="324" s="1"/>
  <c r="I57" i="324"/>
  <c r="J57" i="324" s="1"/>
  <c r="I56" i="324"/>
  <c r="J56" i="324" s="1"/>
  <c r="I55" i="324"/>
  <c r="J55"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1" i="324"/>
  <c r="J31" i="324" s="1"/>
  <c r="I28" i="324"/>
  <c r="J28" i="324"/>
  <c r="I27" i="324"/>
  <c r="J27" i="324"/>
  <c r="I26" i="324"/>
  <c r="J26" i="324"/>
  <c r="I25" i="324"/>
  <c r="J25" i="324"/>
  <c r="I24" i="324"/>
  <c r="J24" i="324"/>
  <c r="I23" i="324"/>
  <c r="J23" i="324"/>
  <c r="I22" i="324"/>
  <c r="J22" i="324"/>
  <c r="I21" i="324"/>
  <c r="J21" i="324"/>
  <c r="I17" i="324"/>
  <c r="J17" i="324"/>
  <c r="I16" i="324"/>
  <c r="J16" i="324"/>
  <c r="I15" i="324"/>
  <c r="J15" i="324"/>
  <c r="I14" i="324"/>
  <c r="J14" i="324"/>
  <c r="I13" i="324"/>
  <c r="J13" i="324"/>
  <c r="I12" i="324"/>
  <c r="J12" i="324"/>
  <c r="I11" i="324"/>
  <c r="J11" i="324" s="1"/>
  <c r="I10" i="324"/>
  <c r="J10" i="324" s="1"/>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F43" i="268"/>
  <c r="F47" i="268"/>
  <c r="F53" i="268"/>
  <c r="E43" i="268"/>
  <c r="E47" i="268"/>
  <c r="E53" i="268"/>
  <c r="D43" i="268"/>
  <c r="D47" i="268"/>
  <c r="D53" i="268"/>
  <c r="C43" i="268"/>
  <c r="C47" i="268"/>
  <c r="C63" i="268" s="1"/>
  <c r="C53" i="268"/>
  <c r="I62" i="268"/>
  <c r="J62" i="268" s="1"/>
  <c r="I58" i="268"/>
  <c r="J58" i="268" s="1"/>
  <c r="I52" i="268"/>
  <c r="J52" i="268" s="1"/>
  <c r="I51" i="268"/>
  <c r="J51" i="268" s="1"/>
  <c r="I46" i="268"/>
  <c r="J46" i="268" s="1"/>
  <c r="I45" i="268"/>
  <c r="J45" i="268" s="1"/>
  <c r="I73" i="268"/>
  <c r="J73" i="268" s="1"/>
  <c r="I69" i="268"/>
  <c r="J69" i="268" s="1"/>
  <c r="I68" i="268"/>
  <c r="J68" i="268" s="1"/>
  <c r="A2" i="268"/>
  <c r="K3" i="268"/>
  <c r="J3" i="268"/>
  <c r="I3" i="268"/>
  <c r="H3" i="268"/>
  <c r="G3" i="268"/>
  <c r="F3" i="268"/>
  <c r="E3" i="268"/>
  <c r="D3" i="268"/>
  <c r="C3" i="268"/>
  <c r="B2" i="268"/>
  <c r="A75" i="268"/>
  <c r="E82" i="100"/>
  <c r="B82" i="100" s="1"/>
  <c r="F48" i="178"/>
  <c r="G49" i="174" s="1"/>
  <c r="A49" i="178"/>
  <c r="A2" i="178"/>
  <c r="G3" i="178"/>
  <c r="F3" i="178"/>
  <c r="E3" i="178"/>
  <c r="D3" i="178"/>
  <c r="C3" i="178"/>
  <c r="B2" i="178"/>
  <c r="F40" i="178"/>
  <c r="F39" i="267" s="1"/>
  <c r="I13" i="177"/>
  <c r="J13" i="177"/>
  <c r="E83" i="100"/>
  <c r="I32" i="177"/>
  <c r="J32" i="177" s="1"/>
  <c r="I33" i="177"/>
  <c r="J33" i="177" s="1"/>
  <c r="I34" i="177"/>
  <c r="J34" i="177" s="1"/>
  <c r="I36" i="177"/>
  <c r="J36" i="177" s="1"/>
  <c r="J35" i="177"/>
  <c r="I22" i="177"/>
  <c r="J22"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G6" i="180"/>
  <c r="C28" i="172" s="1"/>
  <c r="F6" i="180"/>
  <c r="G3" i="180"/>
  <c r="C27" i="172" s="1"/>
  <c r="F3" i="180"/>
  <c r="B27" i="172" s="1"/>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c r="C3" i="180"/>
  <c r="C2" i="172"/>
  <c r="C3" i="172"/>
  <c r="B14" i="172"/>
  <c r="B13" i="172"/>
  <c r="B12" i="172"/>
  <c r="B11" i="172"/>
  <c r="B10" i="172"/>
  <c r="B9" i="172"/>
  <c r="B8" i="172"/>
  <c r="B7" i="172"/>
  <c r="B6" i="172"/>
  <c r="B5" i="172"/>
  <c r="B4" i="172"/>
  <c r="B3" i="172"/>
  <c r="K20" i="175"/>
  <c r="C81" i="172" s="1"/>
  <c r="B81" i="172" s="1"/>
  <c r="K18" i="175"/>
  <c r="C79" i="172" s="1"/>
  <c r="B79" i="172" s="1"/>
  <c r="K17" i="175"/>
  <c r="I54" i="172"/>
  <c r="H54" i="172"/>
  <c r="G54" i="172"/>
  <c r="F54" i="172"/>
  <c r="E54" i="172"/>
  <c r="D54" i="172"/>
  <c r="C54" i="172"/>
  <c r="B54" i="172"/>
  <c r="B25" i="251"/>
  <c r="B16" i="251"/>
  <c r="B5" i="251"/>
  <c r="A51" i="251"/>
  <c r="B2" i="251"/>
  <c r="A2" i="251"/>
  <c r="E93" i="100"/>
  <c r="A5" i="181"/>
  <c r="G36" i="181"/>
  <c r="I43" i="181"/>
  <c r="J43" i="181" s="1"/>
  <c r="I41" i="181"/>
  <c r="J41" i="181" s="1"/>
  <c r="I40" i="181"/>
  <c r="J40" i="181" s="1"/>
  <c r="I39" i="181"/>
  <c r="J39" i="181" s="1"/>
  <c r="I35" i="181"/>
  <c r="J35" i="181" s="1"/>
  <c r="I34" i="181"/>
  <c r="J34" i="181" s="1"/>
  <c r="I31" i="181"/>
  <c r="J31" i="181" s="1"/>
  <c r="I30" i="181"/>
  <c r="J30" i="181" s="1"/>
  <c r="I27" i="181"/>
  <c r="J27" i="181" s="1"/>
  <c r="I26" i="181"/>
  <c r="J26" i="181" s="1"/>
  <c r="I21" i="181"/>
  <c r="J21" i="181" s="1"/>
  <c r="I20" i="181"/>
  <c r="J20" i="181" s="1"/>
  <c r="I15" i="181"/>
  <c r="J15" i="181" s="1"/>
  <c r="I14" i="181"/>
  <c r="J14" i="181" s="1"/>
  <c r="I13" i="181"/>
  <c r="J13" i="181" s="1"/>
  <c r="I10" i="181"/>
  <c r="J10" i="181" s="1"/>
  <c r="I9" i="181"/>
  <c r="J9" i="181" s="1"/>
  <c r="I8" i="181"/>
  <c r="J8" i="181" s="1"/>
  <c r="I6" i="181"/>
  <c r="J6" i="181" s="1"/>
  <c r="F36" i="181"/>
  <c r="E36" i="181"/>
  <c r="D36" i="181"/>
  <c r="D38" i="181" s="1"/>
  <c r="D42" i="181" s="1"/>
  <c r="D44" i="181" s="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I16" i="183" s="1"/>
  <c r="I31" i="183" s="1"/>
  <c r="J31" i="183" s="1"/>
  <c r="H16" i="183"/>
  <c r="H31" i="183"/>
  <c r="G29" i="183"/>
  <c r="G31" i="183"/>
  <c r="H29" i="183"/>
  <c r="G43" i="183"/>
  <c r="I43" i="183" s="1"/>
  <c r="J43" i="183" s="1"/>
  <c r="H43" i="183"/>
  <c r="J42" i="183"/>
  <c r="I41" i="183"/>
  <c r="J41" i="183"/>
  <c r="I40" i="183"/>
  <c r="J40" i="183"/>
  <c r="I39" i="183"/>
  <c r="J39" i="183"/>
  <c r="I38" i="183"/>
  <c r="J38" i="183"/>
  <c r="I37" i="183"/>
  <c r="J37" i="183"/>
  <c r="I36" i="183"/>
  <c r="J36" i="183"/>
  <c r="I35" i="183"/>
  <c r="J35" i="183"/>
  <c r="I34" i="183"/>
  <c r="J34" i="183"/>
  <c r="I33" i="183"/>
  <c r="J33" i="183"/>
  <c r="J30" i="183"/>
  <c r="I28" i="183"/>
  <c r="J28" i="183" s="1"/>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K16" i="183"/>
  <c r="C29" i="183"/>
  <c r="D29" i="183"/>
  <c r="D31" i="183" s="1"/>
  <c r="E29" i="183"/>
  <c r="F29" i="183"/>
  <c r="K29" i="183"/>
  <c r="K31" i="183"/>
  <c r="A31" i="183"/>
  <c r="C43" i="183"/>
  <c r="D43" i="183"/>
  <c r="E43" i="183"/>
  <c r="F43" i="183"/>
  <c r="K43" i="183"/>
  <c r="E95" i="100"/>
  <c r="E18" i="180"/>
  <c r="D18" i="180"/>
  <c r="C18" i="180"/>
  <c r="I3" i="180"/>
  <c r="H3" i="180"/>
  <c r="B3" i="180"/>
  <c r="B18" i="180"/>
  <c r="I136" i="242"/>
  <c r="J136" i="242"/>
  <c r="J134" i="242"/>
  <c r="J137" i="242"/>
  <c r="I107" i="242"/>
  <c r="J107"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s="1"/>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4" i="174"/>
  <c r="G42" i="174"/>
  <c r="F42" i="174"/>
  <c r="F44" i="174"/>
  <c r="F55" i="174"/>
  <c r="E42" i="174"/>
  <c r="E7" i="174" s="1"/>
  <c r="E44" i="174"/>
  <c r="H40" i="174"/>
  <c r="G40" i="174"/>
  <c r="F40" i="174"/>
  <c r="F26" i="174" s="1"/>
  <c r="E40" i="174"/>
  <c r="D42" i="174"/>
  <c r="D7" i="174" s="1"/>
  <c r="D44" i="174"/>
  <c r="D40" i="174"/>
  <c r="H63" i="174"/>
  <c r="H18" i="174"/>
  <c r="G63" i="174"/>
  <c r="G18" i="174" s="1"/>
  <c r="F63" i="174"/>
  <c r="F18" i="174" s="1"/>
  <c r="E63" i="174"/>
  <c r="E18" i="174" s="1"/>
  <c r="H59" i="174"/>
  <c r="G59" i="174"/>
  <c r="F59" i="174"/>
  <c r="F17" i="174" s="1"/>
  <c r="E59" i="174"/>
  <c r="D63" i="174"/>
  <c r="D18" i="174" s="1"/>
  <c r="D59" i="174"/>
  <c r="D53" i="174"/>
  <c r="D14" i="174" s="1"/>
  <c r="D52" i="174"/>
  <c r="H50" i="174"/>
  <c r="G51" i="174"/>
  <c r="G50" i="174"/>
  <c r="F51" i="174"/>
  <c r="F50" i="174"/>
  <c r="E51" i="174"/>
  <c r="E11" i="174"/>
  <c r="E50" i="174"/>
  <c r="D51" i="174"/>
  <c r="D11" i="174" s="1"/>
  <c r="D50" i="174"/>
  <c r="H49" i="174"/>
  <c r="F48" i="174"/>
  <c r="F49" i="174"/>
  <c r="F10" i="174" s="1"/>
  <c r="E48" i="174"/>
  <c r="D48" i="174"/>
  <c r="D49" i="174"/>
  <c r="H47" i="174"/>
  <c r="G47" i="174"/>
  <c r="F47" i="174"/>
  <c r="E47" i="174"/>
  <c r="D47" i="174"/>
  <c r="F38" i="174"/>
  <c r="E38" i="174"/>
  <c r="D38" i="174"/>
  <c r="H43" i="174"/>
  <c r="G43" i="174"/>
  <c r="F43" i="174"/>
  <c r="E43" i="174"/>
  <c r="D43" i="174"/>
  <c r="A52" i="174"/>
  <c r="A50" i="174"/>
  <c r="A41" i="174"/>
  <c r="A40" i="174"/>
  <c r="A53" i="174"/>
  <c r="A51" i="174"/>
  <c r="A46" i="174"/>
  <c r="A38" i="174"/>
  <c r="H58" i="174"/>
  <c r="G58" i="174"/>
  <c r="F58" i="174"/>
  <c r="E58" i="174"/>
  <c r="D58" i="174"/>
  <c r="H57"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J26" i="175" s="1"/>
  <c r="J27" i="175" s="1"/>
  <c r="I21" i="175"/>
  <c r="H21" i="175"/>
  <c r="G21" i="175"/>
  <c r="F21" i="175"/>
  <c r="E21" i="175"/>
  <c r="D21" i="175"/>
  <c r="D26" i="175" s="1"/>
  <c r="D27" i="175" s="1"/>
  <c r="C21" i="175"/>
  <c r="A2" i="175"/>
  <c r="M14" i="175"/>
  <c r="M21" i="175"/>
  <c r="L15" i="173"/>
  <c r="A2" i="173"/>
  <c r="C35" i="270"/>
  <c r="C52" i="270"/>
  <c r="C56" i="270" s="1"/>
  <c r="G44" i="270"/>
  <c r="H44" i="270"/>
  <c r="F44" i="270"/>
  <c r="E44" i="270"/>
  <c r="D44" i="270"/>
  <c r="K54" i="270"/>
  <c r="G54" i="270"/>
  <c r="H54" i="270"/>
  <c r="F54" i="270"/>
  <c r="E54" i="270"/>
  <c r="D54" i="270"/>
  <c r="K52" i="270"/>
  <c r="G52" i="270"/>
  <c r="H52" i="270"/>
  <c r="I52" i="270" s="1"/>
  <c r="J52" i="270" s="1"/>
  <c r="F52" i="270"/>
  <c r="E52" i="270"/>
  <c r="D52" i="270"/>
  <c r="G35" i="270"/>
  <c r="F35" i="270"/>
  <c r="F56" i="270" s="1"/>
  <c r="E35" i="270"/>
  <c r="E56" i="270" s="1"/>
  <c r="E58" i="270" s="1"/>
  <c r="D35" i="270"/>
  <c r="G28" i="270"/>
  <c r="I28" i="270" s="1"/>
  <c r="J28" i="270" s="1"/>
  <c r="H28" i="270"/>
  <c r="I29" i="270"/>
  <c r="J29" i="270" s="1"/>
  <c r="G30" i="270"/>
  <c r="H30" i="270"/>
  <c r="I31" i="270"/>
  <c r="J31" i="270" s="1"/>
  <c r="K28" i="270"/>
  <c r="K30" i="270"/>
  <c r="G8" i="270"/>
  <c r="G32" i="270" s="1"/>
  <c r="F8" i="270"/>
  <c r="F28" i="270"/>
  <c r="F30" i="270"/>
  <c r="E8" i="270"/>
  <c r="E28" i="270"/>
  <c r="E30" i="270"/>
  <c r="D8" i="270"/>
  <c r="D28" i="270"/>
  <c r="D30" i="270"/>
  <c r="C8" i="270"/>
  <c r="C18" i="270"/>
  <c r="C28" i="270"/>
  <c r="A54" i="270"/>
  <c r="A44" i="334" s="1"/>
  <c r="A52" i="270"/>
  <c r="A52" i="269" s="1"/>
  <c r="A44" i="270"/>
  <c r="A38" i="334" s="1"/>
  <c r="A35" i="270"/>
  <c r="A35" i="269" s="1"/>
  <c r="I36" i="270"/>
  <c r="J36" i="270" s="1"/>
  <c r="I15" i="270"/>
  <c r="J15" i="270" s="1"/>
  <c r="I17" i="270"/>
  <c r="J17" i="270" s="1"/>
  <c r="I22" i="270"/>
  <c r="I23" i="270"/>
  <c r="J23" i="270" s="1"/>
  <c r="I27" i="270"/>
  <c r="J27" i="270" s="1"/>
  <c r="K3" i="270"/>
  <c r="J3" i="270"/>
  <c r="I3" i="270"/>
  <c r="H3" i="270"/>
  <c r="G3" i="270"/>
  <c r="F3" i="270"/>
  <c r="E3" i="270"/>
  <c r="D3" i="270"/>
  <c r="C3" i="270"/>
  <c r="B2" i="270"/>
  <c r="A2" i="270"/>
  <c r="A59" i="270"/>
  <c r="I55" i="269"/>
  <c r="J55" i="269" s="1"/>
  <c r="K54" i="269"/>
  <c r="G54" i="269"/>
  <c r="H54" i="269"/>
  <c r="F54" i="269"/>
  <c r="E54" i="269"/>
  <c r="D54" i="269"/>
  <c r="C54" i="269"/>
  <c r="I53" i="269"/>
  <c r="J53" i="269"/>
  <c r="K52" i="269"/>
  <c r="G52" i="269"/>
  <c r="H52" i="269"/>
  <c r="F52" i="269"/>
  <c r="E52" i="269"/>
  <c r="D52" i="269"/>
  <c r="C52" i="269"/>
  <c r="K44" i="269"/>
  <c r="K56" i="269" s="1"/>
  <c r="G44" i="269"/>
  <c r="F44" i="269"/>
  <c r="E44" i="269"/>
  <c r="D44" i="269"/>
  <c r="D56" i="269" s="1"/>
  <c r="C44" i="269"/>
  <c r="G35" i="269"/>
  <c r="G56" i="269" s="1"/>
  <c r="F35" i="269"/>
  <c r="E35" i="269"/>
  <c r="E56" i="269" s="1"/>
  <c r="D35" i="269"/>
  <c r="C35" i="269"/>
  <c r="C56" i="269" s="1"/>
  <c r="K28" i="269"/>
  <c r="K30" i="269"/>
  <c r="I9" i="269"/>
  <c r="J9" i="269" s="1"/>
  <c r="G28" i="269"/>
  <c r="H28" i="269"/>
  <c r="G30" i="269"/>
  <c r="H30" i="269"/>
  <c r="G8" i="269"/>
  <c r="G18" i="269"/>
  <c r="F8" i="269"/>
  <c r="F18" i="269"/>
  <c r="F28" i="269"/>
  <c r="F30" i="269"/>
  <c r="E8" i="269"/>
  <c r="E18" i="269"/>
  <c r="E30" i="269"/>
  <c r="D8" i="269"/>
  <c r="D18" i="269"/>
  <c r="D28" i="269"/>
  <c r="D30" i="269"/>
  <c r="C8" i="269"/>
  <c r="C18" i="269"/>
  <c r="C28" i="269"/>
  <c r="C30" i="269"/>
  <c r="I31" i="269"/>
  <c r="J31" i="269" s="1"/>
  <c r="I29" i="269"/>
  <c r="J29" i="269" s="1"/>
  <c r="A53" i="269"/>
  <c r="A36" i="269"/>
  <c r="A30" i="269"/>
  <c r="A28" i="269"/>
  <c r="A20" i="269"/>
  <c r="A18" i="269"/>
  <c r="A9" i="269"/>
  <c r="A8" i="269"/>
  <c r="K3" i="269"/>
  <c r="J3" i="269"/>
  <c r="I3" i="269"/>
  <c r="H3" i="269"/>
  <c r="G3" i="269"/>
  <c r="F3" i="269"/>
  <c r="E3" i="269"/>
  <c r="D3" i="269"/>
  <c r="C3" i="269"/>
  <c r="B2" i="269"/>
  <c r="A2" i="269"/>
  <c r="A59" i="269"/>
  <c r="H99" i="318"/>
  <c r="G30" i="318"/>
  <c r="G46" i="318"/>
  <c r="G83" i="318"/>
  <c r="G99" i="318"/>
  <c r="F30" i="318"/>
  <c r="F46" i="318"/>
  <c r="F83" i="318"/>
  <c r="F99" i="318"/>
  <c r="G14" i="318"/>
  <c r="G67" i="318"/>
  <c r="H67" i="318"/>
  <c r="K30" i="318"/>
  <c r="K46" i="318"/>
  <c r="K47" i="318" s="1"/>
  <c r="K67" i="318"/>
  <c r="K99" i="318"/>
  <c r="K100" i="318" s="1"/>
  <c r="E14" i="318"/>
  <c r="E30" i="318"/>
  <c r="E31" i="318" s="1"/>
  <c r="E46" i="318"/>
  <c r="E47" i="318" s="1"/>
  <c r="E67" i="318"/>
  <c r="E68" i="318" s="1"/>
  <c r="E83" i="318"/>
  <c r="E106" i="318"/>
  <c r="E99" i="318"/>
  <c r="E100" i="318"/>
  <c r="D14" i="318"/>
  <c r="D49" i="318"/>
  <c r="D104" i="318" s="1"/>
  <c r="D30" i="318"/>
  <c r="D31" i="318"/>
  <c r="D46" i="318"/>
  <c r="D47" i="318"/>
  <c r="D67" i="318"/>
  <c r="D68" i="318"/>
  <c r="D83" i="318"/>
  <c r="D84" i="318"/>
  <c r="D99" i="318"/>
  <c r="D100" i="318"/>
  <c r="C83" i="318"/>
  <c r="K84" i="318" s="1"/>
  <c r="C14" i="318"/>
  <c r="K15" i="318" s="1"/>
  <c r="I98" i="318"/>
  <c r="J98" i="318"/>
  <c r="I97" i="318"/>
  <c r="J97" i="318"/>
  <c r="I96" i="318"/>
  <c r="J96" i="318"/>
  <c r="I95" i="318"/>
  <c r="J95" i="318" s="1"/>
  <c r="I94" i="318"/>
  <c r="J94" i="318" s="1"/>
  <c r="I93" i="318"/>
  <c r="J93" i="318" s="1"/>
  <c r="I88" i="318"/>
  <c r="J88" i="318" s="1"/>
  <c r="I87" i="318"/>
  <c r="J87" i="318" s="1"/>
  <c r="I82" i="318"/>
  <c r="J82" i="318"/>
  <c r="I81" i="318"/>
  <c r="J81" i="318"/>
  <c r="I80" i="318"/>
  <c r="J80" i="318"/>
  <c r="I79" i="318"/>
  <c r="J79" i="318"/>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3" i="318"/>
  <c r="J13" i="318" s="1"/>
  <c r="I8" i="318"/>
  <c r="J8" i="318" s="1"/>
  <c r="C30" i="318"/>
  <c r="C46" i="318"/>
  <c r="K3" i="318"/>
  <c r="J3" i="318"/>
  <c r="I3" i="318"/>
  <c r="H3" i="318"/>
  <c r="G3" i="318"/>
  <c r="F3" i="318"/>
  <c r="E3" i="318"/>
  <c r="D3" i="318"/>
  <c r="C3" i="318"/>
  <c r="B2" i="318"/>
  <c r="F14" i="318"/>
  <c r="C67" i="318"/>
  <c r="F67" i="318"/>
  <c r="C99" i="318"/>
  <c r="C106" i="318" s="1"/>
  <c r="A107" i="318"/>
  <c r="P33" i="317"/>
  <c r="P46" i="317"/>
  <c r="P65" i="317"/>
  <c r="O33" i="317"/>
  <c r="O54" i="317"/>
  <c r="O56" i="317" s="1"/>
  <c r="P55" i="317" s="1"/>
  <c r="O46" i="317"/>
  <c r="O55" i="317"/>
  <c r="Q33" i="317"/>
  <c r="Q46" i="317"/>
  <c r="Q52" i="317" s="1"/>
  <c r="D33" i="317"/>
  <c r="D46" i="317"/>
  <c r="D52" i="317" s="1"/>
  <c r="C33" i="317"/>
  <c r="C46" i="317"/>
  <c r="C52" i="317"/>
  <c r="E33" i="317"/>
  <c r="E46" i="317"/>
  <c r="E52" i="317" s="1"/>
  <c r="E54" i="317"/>
  <c r="E66" i="317" s="1"/>
  <c r="F33" i="317"/>
  <c r="F46" i="317"/>
  <c r="F52" i="317"/>
  <c r="G33" i="317"/>
  <c r="G54" i="317" s="1"/>
  <c r="G46" i="317"/>
  <c r="H33" i="317"/>
  <c r="H46" i="317"/>
  <c r="I33" i="317"/>
  <c r="I54" i="317" s="1"/>
  <c r="I46" i="317"/>
  <c r="I52" i="317" s="1"/>
  <c r="J33" i="317"/>
  <c r="J46" i="317"/>
  <c r="J65" i="317" s="1"/>
  <c r="K33" i="317"/>
  <c r="K46" i="317"/>
  <c r="K52" i="317"/>
  <c r="K65" i="317"/>
  <c r="L33" i="317"/>
  <c r="L46" i="317"/>
  <c r="M33" i="317"/>
  <c r="M54" i="317" s="1"/>
  <c r="M66" i="317" s="1"/>
  <c r="M46" i="317"/>
  <c r="M52" i="317" s="1"/>
  <c r="N36" i="317"/>
  <c r="N37" i="317"/>
  <c r="N38" i="317"/>
  <c r="N39" i="317"/>
  <c r="N46" i="317" s="1"/>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13" i="100"/>
  <c r="P3" i="317" s="1"/>
  <c r="B2" i="317"/>
  <c r="B46" i="317"/>
  <c r="B52" i="317"/>
  <c r="B54" i="317" s="1"/>
  <c r="A57" i="317"/>
  <c r="E38" i="181"/>
  <c r="E42" i="181" s="1"/>
  <c r="E44" i="181" s="1"/>
  <c r="I275" i="324"/>
  <c r="H35" i="268"/>
  <c r="I319" i="324"/>
  <c r="I29" i="183"/>
  <c r="J29" i="183"/>
  <c r="M342" i="324"/>
  <c r="G15" i="241"/>
  <c r="I15" i="241" s="1"/>
  <c r="J15" i="241"/>
  <c r="D21" i="241"/>
  <c r="F65" i="317"/>
  <c r="I242" i="324"/>
  <c r="J242" i="324"/>
  <c r="I330" i="324"/>
  <c r="I286" i="324"/>
  <c r="I297" i="324"/>
  <c r="J297" i="324"/>
  <c r="A6" i="323"/>
  <c r="A28" i="323"/>
  <c r="A72" i="323"/>
  <c r="A94" i="323"/>
  <c r="A116" i="323"/>
  <c r="A262" i="323"/>
  <c r="A295" i="323"/>
  <c r="A317" i="323"/>
  <c r="A19" i="272"/>
  <c r="A17" i="272"/>
  <c r="A11" i="272"/>
  <c r="A36" i="272"/>
  <c r="A34" i="272"/>
  <c r="A30" i="272"/>
  <c r="A28" i="272"/>
  <c r="A26" i="272"/>
  <c r="A308" i="324"/>
  <c r="A286" i="324"/>
  <c r="A264" i="324"/>
  <c r="A242" i="324"/>
  <c r="A220" i="324"/>
  <c r="A198" i="324"/>
  <c r="A106" i="324"/>
  <c r="A128" i="324"/>
  <c r="A150" i="324"/>
  <c r="A19" i="268"/>
  <c r="A17" i="268"/>
  <c r="A11" i="268"/>
  <c r="A9" i="268"/>
  <c r="A36" i="268"/>
  <c r="A34" i="268"/>
  <c r="A30" i="268"/>
  <c r="A26" i="268"/>
  <c r="A149" i="323"/>
  <c r="A174" i="323"/>
  <c r="A284" i="323"/>
  <c r="A306" i="323"/>
  <c r="A20" i="272"/>
  <c r="A16" i="272"/>
  <c r="A14" i="272"/>
  <c r="A12" i="272"/>
  <c r="A8" i="272"/>
  <c r="A24" i="272"/>
  <c r="A37" i="272"/>
  <c r="A31" i="272"/>
  <c r="A29" i="272"/>
  <c r="A319" i="324"/>
  <c r="A253" i="324"/>
  <c r="A231" i="324"/>
  <c r="A29" i="324"/>
  <c r="A51" i="324"/>
  <c r="A73" i="324"/>
  <c r="A95" i="324"/>
  <c r="A117" i="324"/>
  <c r="A139" i="324"/>
  <c r="I35" i="268"/>
  <c r="J35" i="268"/>
  <c r="A83" i="323"/>
  <c r="A127" i="323"/>
  <c r="A29" i="268"/>
  <c r="J52" i="317"/>
  <c r="K7" i="241"/>
  <c r="E6" i="272"/>
  <c r="A31" i="268"/>
  <c r="A61" i="323"/>
  <c r="A27" i="268"/>
  <c r="A62" i="324"/>
  <c r="F8" i="334"/>
  <c r="G8" i="334" s="1"/>
  <c r="G9" i="334"/>
  <c r="F41" i="334"/>
  <c r="G41" i="334" s="1"/>
  <c r="G45" i="334"/>
  <c r="D38" i="268"/>
  <c r="I65" i="317"/>
  <c r="J37" i="267"/>
  <c r="H16" i="268"/>
  <c r="C30" i="268"/>
  <c r="D17" i="272"/>
  <c r="I72" i="323"/>
  <c r="J72" i="323" s="1"/>
  <c r="O342" i="324"/>
  <c r="C31" i="183"/>
  <c r="C39" i="177"/>
  <c r="C41" i="177" s="1"/>
  <c r="B46" i="267" s="1"/>
  <c r="F45" i="267"/>
  <c r="H15" i="272"/>
  <c r="A218" i="323"/>
  <c r="A10" i="268"/>
  <c r="K117" i="326"/>
  <c r="J130" i="326"/>
  <c r="J69" i="335"/>
  <c r="I63" i="335"/>
  <c r="J63" i="335" s="1"/>
  <c r="I99" i="335"/>
  <c r="J99" i="335"/>
  <c r="G110" i="335"/>
  <c r="I130" i="335"/>
  <c r="J130" i="335" s="1"/>
  <c r="I110" i="335"/>
  <c r="J110" i="335"/>
  <c r="H110" i="333"/>
  <c r="E117" i="333"/>
  <c r="I163" i="333"/>
  <c r="J163" i="333"/>
  <c r="E75" i="333"/>
  <c r="D117" i="333"/>
  <c r="I69" i="333"/>
  <c r="J69" i="333"/>
  <c r="K75" i="333"/>
  <c r="I111" i="333"/>
  <c r="J111" i="333" s="1"/>
  <c r="C117" i="333"/>
  <c r="I63" i="333"/>
  <c r="J63" i="333"/>
  <c r="I110" i="333"/>
  <c r="J110" i="333"/>
  <c r="F110" i="333"/>
  <c r="J160" i="333"/>
  <c r="J38" i="325"/>
  <c r="I148" i="325"/>
  <c r="J148" i="325"/>
  <c r="I13" i="325"/>
  <c r="J13" i="325" s="1"/>
  <c r="I160" i="325"/>
  <c r="J160" i="325" s="1"/>
  <c r="I163" i="325"/>
  <c r="J163" i="325" s="1"/>
  <c r="I69" i="325"/>
  <c r="J69" i="325" s="1"/>
  <c r="C75" i="325"/>
  <c r="C166" i="325" s="1"/>
  <c r="I135" i="325"/>
  <c r="J135" i="325"/>
  <c r="I103" i="325"/>
  <c r="J103" i="325"/>
  <c r="I111" i="325"/>
  <c r="J111" i="325"/>
  <c r="C117" i="325"/>
  <c r="J45" i="325"/>
  <c r="H110" i="325"/>
  <c r="I110" i="325"/>
  <c r="J110" i="325" s="1"/>
  <c r="D117" i="325"/>
  <c r="K7" i="325"/>
  <c r="J27" i="325"/>
  <c r="E110" i="325"/>
  <c r="I63" i="325"/>
  <c r="J63" i="325" s="1"/>
  <c r="I157" i="325"/>
  <c r="J157" i="325" s="1"/>
  <c r="E7" i="325"/>
  <c r="I99" i="325"/>
  <c r="J99" i="325" s="1"/>
  <c r="F110" i="326"/>
  <c r="E110" i="326"/>
  <c r="C75" i="326"/>
  <c r="G75" i="326"/>
  <c r="J135" i="326"/>
  <c r="I17" i="326"/>
  <c r="J17" i="326"/>
  <c r="I69" i="326"/>
  <c r="J69" i="326"/>
  <c r="I114" i="326"/>
  <c r="J114" i="326"/>
  <c r="I157" i="326"/>
  <c r="J157" i="326" s="1"/>
  <c r="I27" i="326"/>
  <c r="J27" i="326" s="1"/>
  <c r="C110" i="326"/>
  <c r="C117" i="326"/>
  <c r="G117" i="326"/>
  <c r="J160" i="326"/>
  <c r="I99" i="326"/>
  <c r="J99" i="326"/>
  <c r="D110" i="326"/>
  <c r="H110" i="326"/>
  <c r="I110" i="326" s="1"/>
  <c r="J110" i="326" s="1"/>
  <c r="D117" i="326"/>
  <c r="H117" i="326"/>
  <c r="I117" i="326" s="1"/>
  <c r="I148" i="326"/>
  <c r="J148" i="326" s="1"/>
  <c r="D7" i="326"/>
  <c r="K7" i="326"/>
  <c r="I13" i="326"/>
  <c r="J13" i="326" s="1"/>
  <c r="J163" i="326"/>
  <c r="F7" i="326"/>
  <c r="K110" i="326"/>
  <c r="E117" i="326"/>
  <c r="J118" i="326"/>
  <c r="G7" i="326"/>
  <c r="I38" i="326"/>
  <c r="J38" i="326" s="1"/>
  <c r="E75" i="326"/>
  <c r="H138" i="326"/>
  <c r="I163" i="242"/>
  <c r="J163" i="242"/>
  <c r="H117" i="242"/>
  <c r="I117" i="242"/>
  <c r="J117" i="242" s="1"/>
  <c r="C75" i="242"/>
  <c r="H110" i="242"/>
  <c r="F117" i="242"/>
  <c r="E110" i="242"/>
  <c r="G75" i="242"/>
  <c r="G110" i="242"/>
  <c r="I110" i="242"/>
  <c r="J110" i="242" s="1"/>
  <c r="C117" i="242"/>
  <c r="J135" i="242"/>
  <c r="D117" i="242"/>
  <c r="I69" i="242"/>
  <c r="J69" i="242" s="1"/>
  <c r="K110" i="242"/>
  <c r="G117" i="242"/>
  <c r="F110" i="242"/>
  <c r="D75" i="242"/>
  <c r="E117" i="242"/>
  <c r="I130" i="242"/>
  <c r="J130" i="242"/>
  <c r="I111" i="242"/>
  <c r="J111" i="242"/>
  <c r="I63" i="242"/>
  <c r="J63" i="242"/>
  <c r="I118" i="242"/>
  <c r="J118" i="242"/>
  <c r="I99" i="242"/>
  <c r="J99" i="242"/>
  <c r="J27" i="242"/>
  <c r="J38" i="242"/>
  <c r="G32" i="241"/>
  <c r="I67" i="330"/>
  <c r="J67" i="330" s="1"/>
  <c r="E8" i="241"/>
  <c r="C53" i="182"/>
  <c r="J117" i="326"/>
  <c r="I53" i="242"/>
  <c r="J53" i="242"/>
  <c r="I114" i="242"/>
  <c r="J114" i="242"/>
  <c r="D148" i="330"/>
  <c r="F7" i="335"/>
  <c r="G7" i="335"/>
  <c r="I53" i="325"/>
  <c r="J53" i="325"/>
  <c r="C221" i="330"/>
  <c r="O65" i="317"/>
  <c r="O52" i="317"/>
  <c r="I84" i="324"/>
  <c r="J84" i="324" s="1"/>
  <c r="D6" i="272"/>
  <c r="C49" i="318"/>
  <c r="I30" i="268"/>
  <c r="J30" i="268"/>
  <c r="G65" i="317"/>
  <c r="G52" i="317"/>
  <c r="I38" i="268"/>
  <c r="J38" i="268" s="1"/>
  <c r="J330" i="324"/>
  <c r="C6" i="272"/>
  <c r="I295" i="323"/>
  <c r="J295" i="323" s="1"/>
  <c r="H52" i="317"/>
  <c r="H54" i="317"/>
  <c r="H66" i="317" s="1"/>
  <c r="H65" i="317"/>
  <c r="D13" i="174"/>
  <c r="G7" i="268"/>
  <c r="A20" i="268"/>
  <c r="A160" i="323"/>
  <c r="A38" i="272"/>
  <c r="A330" i="324"/>
  <c r="A161" i="324"/>
  <c r="A38" i="268"/>
  <c r="A328" i="323"/>
  <c r="G18" i="334"/>
  <c r="F16" i="334"/>
  <c r="G16" i="334" s="1"/>
  <c r="G117" i="335"/>
  <c r="I117" i="335" s="1"/>
  <c r="J117" i="335" s="1"/>
  <c r="I118" i="335"/>
  <c r="J118" i="335"/>
  <c r="P52" i="317"/>
  <c r="P54" i="317"/>
  <c r="P66" i="317" s="1"/>
  <c r="D102" i="318"/>
  <c r="K31" i="318"/>
  <c r="H14" i="272"/>
  <c r="I94" i="323"/>
  <c r="J94" i="323" s="1"/>
  <c r="D45" i="174"/>
  <c r="E22" i="241"/>
  <c r="I95" i="324"/>
  <c r="J95" i="324"/>
  <c r="G14" i="268"/>
  <c r="H17" i="268"/>
  <c r="I17" i="268" s="1"/>
  <c r="J17" i="268" s="1"/>
  <c r="I128" i="324"/>
  <c r="J128" i="324"/>
  <c r="I150" i="324"/>
  <c r="J150" i="324" s="1"/>
  <c r="A207" i="323"/>
  <c r="A40" i="324"/>
  <c r="A27" i="272"/>
  <c r="A209" i="324"/>
  <c r="C28" i="334"/>
  <c r="C49" i="334" s="1"/>
  <c r="G32" i="334"/>
  <c r="F31" i="334"/>
  <c r="G138" i="242"/>
  <c r="H75" i="326"/>
  <c r="I76" i="326"/>
  <c r="J76" i="326" s="1"/>
  <c r="G110" i="326"/>
  <c r="I111" i="326"/>
  <c r="J111" i="326"/>
  <c r="C7" i="333"/>
  <c r="C75" i="333"/>
  <c r="C166" i="333" s="1"/>
  <c r="B11" i="267"/>
  <c r="B39" i="267"/>
  <c r="A18" i="268"/>
  <c r="A18" i="272"/>
  <c r="A251" i="323"/>
  <c r="A13" i="272"/>
  <c r="D28" i="334"/>
  <c r="D49" i="334" s="1"/>
  <c r="K110" i="325"/>
  <c r="G7" i="242"/>
  <c r="Q342" i="324"/>
  <c r="I13" i="242"/>
  <c r="J13" i="242"/>
  <c r="B3" i="100"/>
  <c r="D2" i="177" s="1"/>
  <c r="A39" i="323"/>
  <c r="A176" i="324"/>
  <c r="A28" i="268"/>
  <c r="A13" i="268"/>
  <c r="A6" i="268"/>
  <c r="A84" i="324"/>
  <c r="A7" i="324"/>
  <c r="A32" i="272"/>
  <c r="A9" i="272"/>
  <c r="A138" i="323"/>
  <c r="A50" i="323"/>
  <c r="E31" i="183"/>
  <c r="C29" i="267"/>
  <c r="C33" i="267" s="1"/>
  <c r="C6" i="330"/>
  <c r="G31" i="268"/>
  <c r="I253" i="324"/>
  <c r="I31" i="268" s="1"/>
  <c r="J31" i="268" s="1"/>
  <c r="I284" i="323"/>
  <c r="J284" i="323"/>
  <c r="I251" i="323"/>
  <c r="J251" i="323"/>
  <c r="A35" i="268"/>
  <c r="A35" i="272"/>
  <c r="A297" i="324"/>
  <c r="A14" i="268"/>
  <c r="A24" i="268"/>
  <c r="E28" i="334"/>
  <c r="E49" i="334" s="1"/>
  <c r="G46" i="334"/>
  <c r="C7" i="242"/>
  <c r="C166" i="242"/>
  <c r="C7" i="335"/>
  <c r="C166" i="335"/>
  <c r="D7" i="242"/>
  <c r="C110" i="325"/>
  <c r="I114" i="325"/>
  <c r="J114" i="325"/>
  <c r="I140" i="325"/>
  <c r="J140" i="325"/>
  <c r="I135" i="335"/>
  <c r="J135" i="335"/>
  <c r="I53" i="335"/>
  <c r="J53" i="335"/>
  <c r="D2" i="270"/>
  <c r="C2" i="267"/>
  <c r="C2" i="334"/>
  <c r="D2" i="272"/>
  <c r="D2" i="178"/>
  <c r="C2" i="175"/>
  <c r="D2" i="241"/>
  <c r="G31" i="334"/>
  <c r="I75" i="326"/>
  <c r="J75" i="326" s="1"/>
  <c r="I66" i="317"/>
  <c r="C26" i="330"/>
  <c r="D30" i="241"/>
  <c r="D128" i="330"/>
  <c r="D247" i="330" s="1"/>
  <c r="D257" i="330" s="1"/>
  <c r="K54" i="317"/>
  <c r="K66" i="317" s="1"/>
  <c r="C54" i="317"/>
  <c r="C56" i="317"/>
  <c r="D55" i="317" s="1"/>
  <c r="D2" i="335"/>
  <c r="C2" i="180"/>
  <c r="D2" i="326"/>
  <c r="E65" i="317"/>
  <c r="J253" i="324"/>
  <c r="R342" i="324"/>
  <c r="B36" i="267"/>
  <c r="A12" i="268"/>
  <c r="A240" i="323"/>
  <c r="G36" i="268"/>
  <c r="I308" i="324"/>
  <c r="A196" i="323"/>
  <c r="A8" i="268"/>
  <c r="G18" i="272"/>
  <c r="I18" i="272"/>
  <c r="J18" i="272" s="1"/>
  <c r="C7" i="326"/>
  <c r="C166" i="326" s="1"/>
  <c r="I138" i="325"/>
  <c r="J138" i="325" s="1"/>
  <c r="H75" i="333"/>
  <c r="H75" i="335"/>
  <c r="I75" i="335"/>
  <c r="J75" i="335" s="1"/>
  <c r="H138" i="335"/>
  <c r="I8" i="325"/>
  <c r="J8" i="325"/>
  <c r="I36" i="268"/>
  <c r="J36" i="268" s="1"/>
  <c r="J308" i="324"/>
  <c r="A54" i="269"/>
  <c r="A44" i="269"/>
  <c r="C32" i="270"/>
  <c r="C58" i="270" s="1"/>
  <c r="D32" i="270"/>
  <c r="E32" i="270"/>
  <c r="I30" i="270"/>
  <c r="J30" i="270" s="1"/>
  <c r="D56" i="270"/>
  <c r="I54" i="270"/>
  <c r="J54" i="270" s="1"/>
  <c r="A31" i="334"/>
  <c r="S342" i="324"/>
  <c r="U342" i="324"/>
  <c r="L342" i="324"/>
  <c r="P342" i="324"/>
  <c r="I14" i="268"/>
  <c r="J14" i="268" s="1"/>
  <c r="D8" i="268"/>
  <c r="C18" i="267"/>
  <c r="E45" i="174"/>
  <c r="H32" i="272"/>
  <c r="I32" i="272" s="1"/>
  <c r="J32" i="272" s="1"/>
  <c r="I306" i="323"/>
  <c r="J306" i="323"/>
  <c r="G37" i="272"/>
  <c r="F30" i="272"/>
  <c r="I36" i="272"/>
  <c r="J36" i="272"/>
  <c r="I35" i="272"/>
  <c r="J35" i="272"/>
  <c r="I328" i="323"/>
  <c r="J328" i="323"/>
  <c r="I31" i="272"/>
  <c r="J31" i="272"/>
  <c r="I37" i="272"/>
  <c r="J37" i="272"/>
  <c r="G30" i="272"/>
  <c r="I30" i="272"/>
  <c r="J30" i="272" s="1"/>
  <c r="I16" i="272"/>
  <c r="J16" i="272" s="1"/>
  <c r="I15" i="272"/>
  <c r="J15" i="272" s="1"/>
  <c r="I17" i="272"/>
  <c r="J17" i="272" s="1"/>
  <c r="I127" i="323"/>
  <c r="J127" i="323" s="1"/>
  <c r="H20" i="272"/>
  <c r="I116" i="323"/>
  <c r="J116" i="323"/>
  <c r="I138" i="323"/>
  <c r="J138" i="323"/>
  <c r="P340" i="323"/>
  <c r="R340" i="323"/>
  <c r="T340" i="323"/>
  <c r="I12" i="272"/>
  <c r="J12" i="272" s="1"/>
  <c r="A7" i="268"/>
  <c r="A187" i="324"/>
  <c r="G33" i="272"/>
  <c r="I33" i="272" s="1"/>
  <c r="J33" i="272" s="1"/>
  <c r="C24" i="272"/>
  <c r="N340" i="323"/>
  <c r="D197" i="330"/>
  <c r="D22" i="241"/>
  <c r="C99" i="330"/>
  <c r="D11" i="241"/>
  <c r="D2" i="333"/>
  <c r="A53" i="172"/>
  <c r="A104" i="172" s="1"/>
  <c r="D2" i="269"/>
  <c r="A1" i="328"/>
  <c r="D7" i="335"/>
  <c r="D166" i="335" s="1"/>
  <c r="D166" i="325"/>
  <c r="D166" i="326"/>
  <c r="Q54" i="317"/>
  <c r="O66" i="317"/>
  <c r="D106" i="318"/>
  <c r="I54" i="269"/>
  <c r="J54" i="269" s="1"/>
  <c r="I30" i="269"/>
  <c r="J30" i="269" s="1"/>
  <c r="I28" i="269"/>
  <c r="J28" i="269" s="1"/>
  <c r="C32" i="269"/>
  <c r="C58" i="269" s="1"/>
  <c r="E32" i="269"/>
  <c r="I52" i="269"/>
  <c r="J52" i="269" s="1"/>
  <c r="H154" i="333"/>
  <c r="D7" i="333"/>
  <c r="D166" i="333"/>
  <c r="K22" i="181"/>
  <c r="K38" i="181" s="1"/>
  <c r="K42" i="181" s="1"/>
  <c r="K44" i="181" s="1"/>
  <c r="K106" i="318"/>
  <c r="K49" i="318"/>
  <c r="D15" i="318"/>
  <c r="D39" i="177"/>
  <c r="D41" i="177"/>
  <c r="C46" i="267" s="1"/>
  <c r="H28" i="177"/>
  <c r="G44" i="267" s="1"/>
  <c r="C44" i="267"/>
  <c r="I8" i="177"/>
  <c r="J8" i="177" s="1"/>
  <c r="H11" i="174"/>
  <c r="D41" i="178"/>
  <c r="G48" i="174"/>
  <c r="G35" i="178"/>
  <c r="G41" i="178" s="1"/>
  <c r="C38" i="267"/>
  <c r="E14" i="174"/>
  <c r="E52" i="174"/>
  <c r="E13" i="174"/>
  <c r="F13" i="178"/>
  <c r="D26" i="178"/>
  <c r="D43" i="178" s="1"/>
  <c r="D54" i="178" s="1"/>
  <c r="G13" i="178"/>
  <c r="G26" i="178" s="1"/>
  <c r="H61" i="174"/>
  <c r="D27" i="268"/>
  <c r="D39" i="268"/>
  <c r="D40" i="268" s="1"/>
  <c r="H51" i="324"/>
  <c r="H10" i="268" s="1"/>
  <c r="D10" i="268"/>
  <c r="D21" i="268"/>
  <c r="D63" i="268"/>
  <c r="G21" i="267"/>
  <c r="E55" i="174"/>
  <c r="E27" i="174" s="1"/>
  <c r="D38" i="182"/>
  <c r="D42" i="182" s="1"/>
  <c r="D44" i="182" s="1"/>
  <c r="D46" i="182" s="1"/>
  <c r="D48" i="182" s="1"/>
  <c r="H56" i="174"/>
  <c r="E28" i="174"/>
  <c r="E17" i="174"/>
  <c r="D171" i="323"/>
  <c r="D21" i="272"/>
  <c r="D40" i="272" s="1"/>
  <c r="I21" i="323"/>
  <c r="J21" i="323" s="1"/>
  <c r="K46" i="241"/>
  <c r="D46" i="241"/>
  <c r="D43" i="241"/>
  <c r="I213" i="330"/>
  <c r="J213" i="330" s="1"/>
  <c r="D39" i="241"/>
  <c r="H198" i="330"/>
  <c r="H40" i="241" s="1"/>
  <c r="D33" i="241"/>
  <c r="I147" i="330"/>
  <c r="J147" i="330" s="1"/>
  <c r="D29" i="241"/>
  <c r="I9" i="330"/>
  <c r="J9" i="330" s="1"/>
  <c r="D6" i="330"/>
  <c r="D8" i="241"/>
  <c r="D6" i="241"/>
  <c r="H27" i="330"/>
  <c r="H49" i="330"/>
  <c r="H12" i="241" s="1"/>
  <c r="D10" i="241"/>
  <c r="H55" i="330"/>
  <c r="H13" i="241" s="1"/>
  <c r="D26" i="330"/>
  <c r="K17" i="241"/>
  <c r="D17" i="241"/>
  <c r="D16" i="241" s="1"/>
  <c r="D26" i="241" s="1"/>
  <c r="D50" i="241" s="1"/>
  <c r="H87" i="330"/>
  <c r="H100" i="330"/>
  <c r="H21" i="241" s="1"/>
  <c r="D99" i="330"/>
  <c r="D20" i="241"/>
  <c r="K24" i="241"/>
  <c r="B79" i="100"/>
  <c r="B78" i="100"/>
  <c r="B80" i="100"/>
  <c r="B81" i="100"/>
  <c r="B93" i="100"/>
  <c r="B94" i="100"/>
  <c r="B95" i="100"/>
  <c r="B100" i="100"/>
  <c r="B96" i="100"/>
  <c r="B83" i="100"/>
  <c r="B77" i="100"/>
  <c r="B97" i="100"/>
  <c r="K50" i="318"/>
  <c r="J38" i="267"/>
  <c r="E39" i="174"/>
  <c r="D49" i="241"/>
  <c r="F52" i="174"/>
  <c r="F13" i="174" s="1"/>
  <c r="I7" i="318"/>
  <c r="J7" i="318" s="1"/>
  <c r="H209" i="324"/>
  <c r="I72" i="268"/>
  <c r="J72" i="268" s="1"/>
  <c r="I29" i="323"/>
  <c r="J29" i="323" s="1"/>
  <c r="H6" i="272"/>
  <c r="I8" i="323"/>
  <c r="J8" i="323" s="1"/>
  <c r="H235" i="330"/>
  <c r="H47" i="241" s="1"/>
  <c r="A1" i="267"/>
  <c r="I151" i="242"/>
  <c r="J151" i="242" s="1"/>
  <c r="F11" i="174"/>
  <c r="D37" i="267"/>
  <c r="G25" i="272"/>
  <c r="I244" i="330"/>
  <c r="J244" i="330" s="1"/>
  <c r="H214" i="330"/>
  <c r="H42" i="241" s="1"/>
  <c r="I120" i="330"/>
  <c r="J120" i="330" s="1"/>
  <c r="O20" i="238"/>
  <c r="M22" i="238"/>
  <c r="I9" i="318"/>
  <c r="J9" i="318" s="1"/>
  <c r="I50" i="267"/>
  <c r="I11" i="177"/>
  <c r="J11" i="177" s="1"/>
  <c r="I222" i="324"/>
  <c r="J222" i="324" s="1"/>
  <c r="I178" i="324"/>
  <c r="J178" i="324" s="1"/>
  <c r="G8" i="267"/>
  <c r="I62" i="323"/>
  <c r="J62" i="323" s="1"/>
  <c r="F41" i="241"/>
  <c r="F23" i="241"/>
  <c r="H149" i="330"/>
  <c r="I153" i="330"/>
  <c r="J153" i="330" s="1"/>
  <c r="A1" i="330"/>
  <c r="K45" i="241"/>
  <c r="K197" i="330"/>
  <c r="E29" i="241"/>
  <c r="E128" i="330"/>
  <c r="E41" i="241"/>
  <c r="E45" i="241"/>
  <c r="K26" i="330"/>
  <c r="K19" i="241"/>
  <c r="K99" i="330"/>
  <c r="G138" i="333"/>
  <c r="G10" i="272"/>
  <c r="A1" i="323"/>
  <c r="D64" i="100"/>
  <c r="B61" i="100"/>
  <c r="A1" i="251"/>
  <c r="A1" i="272"/>
  <c r="K220" i="324"/>
  <c r="K28" i="268" s="1"/>
  <c r="E341" i="324"/>
  <c r="K198" i="324"/>
  <c r="K26" i="268" s="1"/>
  <c r="I188" i="324"/>
  <c r="J188" i="324" s="1"/>
  <c r="E11" i="268"/>
  <c r="I7" i="324"/>
  <c r="J7" i="324" s="1"/>
  <c r="H6" i="268"/>
  <c r="I9" i="324"/>
  <c r="J9" i="324" s="1"/>
  <c r="I199" i="324"/>
  <c r="J199" i="324" s="1"/>
  <c r="K209" i="324"/>
  <c r="K27" i="268" s="1"/>
  <c r="D29" i="267"/>
  <c r="D33" i="267" s="1"/>
  <c r="I48" i="268"/>
  <c r="J48" i="268" s="1"/>
  <c r="I8" i="182"/>
  <c r="J8" i="182" s="1"/>
  <c r="K22" i="182"/>
  <c r="F45" i="174"/>
  <c r="F7" i="174" s="1"/>
  <c r="E38" i="182"/>
  <c r="E42" i="182" s="1"/>
  <c r="E44" i="182" s="1"/>
  <c r="E46" i="182" s="1"/>
  <c r="E48" i="182" s="1"/>
  <c r="F27" i="174"/>
  <c r="I232" i="323"/>
  <c r="J232" i="323" s="1"/>
  <c r="E9" i="272"/>
  <c r="H55" i="174"/>
  <c r="K53" i="182"/>
  <c r="H26" i="174"/>
  <c r="E7" i="333"/>
  <c r="E166" i="333"/>
  <c r="E7" i="335"/>
  <c r="E166" i="335" s="1"/>
  <c r="K7" i="335"/>
  <c r="K166" i="335" s="1"/>
  <c r="K7" i="333"/>
  <c r="K166" i="333"/>
  <c r="E7" i="326"/>
  <c r="E166" i="326" s="1"/>
  <c r="E49" i="318"/>
  <c r="E39" i="177"/>
  <c r="E41" i="177" s="1"/>
  <c r="D46" i="267" s="1"/>
  <c r="D38" i="267"/>
  <c r="F53" i="174"/>
  <c r="E50" i="318"/>
  <c r="E84" i="318"/>
  <c r="I118" i="325"/>
  <c r="J118" i="325" s="1"/>
  <c r="I140" i="242"/>
  <c r="J140" i="242" s="1"/>
  <c r="I7" i="181"/>
  <c r="J7" i="181" s="1"/>
  <c r="H62" i="324"/>
  <c r="H11" i="268" s="1"/>
  <c r="H18" i="324"/>
  <c r="I18" i="324" s="1"/>
  <c r="J18" i="324" s="1"/>
  <c r="I54" i="268"/>
  <c r="J54" i="268" s="1"/>
  <c r="I33" i="182"/>
  <c r="J33" i="182" s="1"/>
  <c r="I210" i="323"/>
  <c r="J210" i="323" s="1"/>
  <c r="I188" i="323"/>
  <c r="J188" i="323" s="1"/>
  <c r="I52" i="323"/>
  <c r="J52" i="323" s="1"/>
  <c r="H230" i="330"/>
  <c r="H46" i="241" s="1"/>
  <c r="I130" i="330"/>
  <c r="J130" i="330" s="1"/>
  <c r="I121" i="330"/>
  <c r="J121" i="330" s="1"/>
  <c r="E29" i="267"/>
  <c r="G24" i="272"/>
  <c r="I149" i="335"/>
  <c r="J149" i="335" s="1"/>
  <c r="I19" i="333"/>
  <c r="J19" i="333" s="1"/>
  <c r="H118" i="333"/>
  <c r="H117" i="333" s="1"/>
  <c r="I25" i="181"/>
  <c r="J25" i="181" s="1"/>
  <c r="I59" i="268"/>
  <c r="J59" i="268" s="1"/>
  <c r="I44" i="268"/>
  <c r="J44" i="268" s="1"/>
  <c r="I19" i="182"/>
  <c r="J19" i="182" s="1"/>
  <c r="H22" i="182"/>
  <c r="H53" i="182" s="1"/>
  <c r="H229" i="323"/>
  <c r="H29" i="272" s="1"/>
  <c r="H185" i="323"/>
  <c r="I175" i="323"/>
  <c r="J175" i="323" s="1"/>
  <c r="H61" i="323"/>
  <c r="I31" i="323"/>
  <c r="J31" i="323" s="1"/>
  <c r="I243" i="330"/>
  <c r="J243" i="330" s="1"/>
  <c r="H11" i="241"/>
  <c r="F13" i="241"/>
  <c r="D50" i="267"/>
  <c r="I185" i="323" l="1"/>
  <c r="J185" i="323" s="1"/>
  <c r="F197" i="330"/>
  <c r="I64" i="330"/>
  <c r="J64" i="330" s="1"/>
  <c r="G9" i="241"/>
  <c r="I9" i="241" s="1"/>
  <c r="J9" i="241" s="1"/>
  <c r="D171" i="335"/>
  <c r="G66" i="317"/>
  <c r="C28" i="267"/>
  <c r="E46" i="174"/>
  <c r="E8" i="174" s="1"/>
  <c r="D86" i="268"/>
  <c r="K104" i="318"/>
  <c r="C104" i="318"/>
  <c r="D105" i="318" s="1"/>
  <c r="N52" i="317"/>
  <c r="N65" i="317"/>
  <c r="F47" i="334"/>
  <c r="G47" i="334" s="1"/>
  <c r="G38" i="334"/>
  <c r="I34" i="268"/>
  <c r="J34" i="268" s="1"/>
  <c r="J286" i="324"/>
  <c r="I33" i="268"/>
  <c r="J33" i="268" s="1"/>
  <c r="J275" i="324"/>
  <c r="N21" i="317"/>
  <c r="N33" i="317" s="1"/>
  <c r="N54" i="317" s="1"/>
  <c r="J54" i="317"/>
  <c r="H17" i="174"/>
  <c r="G13" i="272"/>
  <c r="I13" i="272" s="1"/>
  <c r="J13" i="272" s="1"/>
  <c r="I83" i="323"/>
  <c r="J83" i="323" s="1"/>
  <c r="C40" i="241"/>
  <c r="C197" i="330"/>
  <c r="K18" i="241"/>
  <c r="K75" i="330"/>
  <c r="B5" i="100"/>
  <c r="B12" i="100"/>
  <c r="O3" i="317" s="1"/>
  <c r="B14" i="100"/>
  <c r="Q3" i="317" s="1"/>
  <c r="B4" i="100"/>
  <c r="B2" i="100"/>
  <c r="I13" i="268"/>
  <c r="J13" i="268" s="1"/>
  <c r="A105" i="323"/>
  <c r="A15" i="272"/>
  <c r="A15" i="268"/>
  <c r="A273" i="323"/>
  <c r="A33" i="272"/>
  <c r="A33" i="268"/>
  <c r="A17" i="323"/>
  <c r="A7" i="272"/>
  <c r="A18" i="324"/>
  <c r="G24" i="334"/>
  <c r="F22" i="334"/>
  <c r="I100" i="330"/>
  <c r="J100" i="330" s="1"/>
  <c r="E102" i="318"/>
  <c r="E104" i="318" s="1"/>
  <c r="E105" i="318" s="1"/>
  <c r="K39" i="177"/>
  <c r="K41" i="177" s="1"/>
  <c r="J46" i="267" s="1"/>
  <c r="A1" i="324"/>
  <c r="A1" i="182"/>
  <c r="A1" i="318"/>
  <c r="A1" i="178"/>
  <c r="K43" i="241"/>
  <c r="A1" i="177"/>
  <c r="A1" i="241"/>
  <c r="H53" i="174"/>
  <c r="E26" i="174"/>
  <c r="C40" i="267"/>
  <c r="D50" i="318"/>
  <c r="P56" i="317"/>
  <c r="Q55" i="317" s="1"/>
  <c r="Q56" i="317" s="1"/>
  <c r="A1" i="331"/>
  <c r="C77" i="172"/>
  <c r="D2" i="181"/>
  <c r="C171" i="323"/>
  <c r="D339" i="323"/>
  <c r="D341" i="323" s="1"/>
  <c r="A25" i="268"/>
  <c r="I149" i="323"/>
  <c r="J149" i="323" s="1"/>
  <c r="I105" i="323"/>
  <c r="J105" i="323" s="1"/>
  <c r="D58" i="270"/>
  <c r="J16" i="183"/>
  <c r="D2" i="183"/>
  <c r="D2" i="318"/>
  <c r="E2" i="174"/>
  <c r="D2" i="268"/>
  <c r="D2" i="325"/>
  <c r="D2" i="323"/>
  <c r="D2" i="324"/>
  <c r="C2" i="317"/>
  <c r="D2" i="242"/>
  <c r="C2" i="173"/>
  <c r="D2" i="330"/>
  <c r="D2" i="182"/>
  <c r="G39" i="334"/>
  <c r="A41" i="334"/>
  <c r="E6" i="330"/>
  <c r="E125" i="330" s="1"/>
  <c r="E256" i="330" s="1"/>
  <c r="F25" i="334"/>
  <c r="G25" i="334" s="1"/>
  <c r="A275" i="324"/>
  <c r="A25" i="272"/>
  <c r="A185" i="323"/>
  <c r="I37" i="268"/>
  <c r="J37" i="268" s="1"/>
  <c r="J319" i="324"/>
  <c r="L52" i="317"/>
  <c r="L54" i="317" s="1"/>
  <c r="L65" i="317"/>
  <c r="F54" i="317"/>
  <c r="D54" i="317"/>
  <c r="D56" i="317" s="1"/>
  <c r="E55" i="317" s="1"/>
  <c r="E56" i="317" s="1"/>
  <c r="F55" i="317" s="1"/>
  <c r="C102" i="318"/>
  <c r="E15" i="318"/>
  <c r="K102" i="318"/>
  <c r="K68" i="318"/>
  <c r="D32" i="269"/>
  <c r="F32" i="270"/>
  <c r="F58" i="270" s="1"/>
  <c r="F31" i="183"/>
  <c r="I6" i="180"/>
  <c r="F7" i="180"/>
  <c r="C11" i="267"/>
  <c r="C20" i="267" s="1"/>
  <c r="C23" i="267" s="1"/>
  <c r="C25" i="267" s="1"/>
  <c r="X38" i="329"/>
  <c r="E18" i="241"/>
  <c r="E16" i="241" s="1"/>
  <c r="E75" i="330"/>
  <c r="K221" i="330"/>
  <c r="C6" i="241"/>
  <c r="G20" i="272"/>
  <c r="I20" i="272" s="1"/>
  <c r="J20" i="272" s="1"/>
  <c r="I160" i="323"/>
  <c r="J160" i="323" s="1"/>
  <c r="F7" i="242"/>
  <c r="F166" i="242" s="1"/>
  <c r="B99" i="100"/>
  <c r="C172" i="324"/>
  <c r="I117" i="324"/>
  <c r="J117" i="324" s="1"/>
  <c r="G16" i="268"/>
  <c r="I16" i="268" s="1"/>
  <c r="J16" i="268" s="1"/>
  <c r="G20" i="268"/>
  <c r="I20" i="268" s="1"/>
  <c r="J20" i="268" s="1"/>
  <c r="I161" i="324"/>
  <c r="J161" i="324" s="1"/>
  <c r="H32" i="268"/>
  <c r="I264" i="324"/>
  <c r="A1" i="268"/>
  <c r="C75" i="330"/>
  <c r="F166" i="326"/>
  <c r="G138" i="326"/>
  <c r="I138" i="326" s="1"/>
  <c r="J138" i="326" s="1"/>
  <c r="I140" i="326"/>
  <c r="J140" i="326" s="1"/>
  <c r="H75" i="325"/>
  <c r="I75" i="325" s="1"/>
  <c r="J75" i="325" s="1"/>
  <c r="I76" i="325"/>
  <c r="J76" i="325" s="1"/>
  <c r="F49" i="318"/>
  <c r="H32" i="267"/>
  <c r="I32" i="267" s="1"/>
  <c r="D341" i="324"/>
  <c r="D343" i="324" s="1"/>
  <c r="B18" i="267"/>
  <c r="D75" i="330"/>
  <c r="D125" i="330" s="1"/>
  <c r="D110" i="242"/>
  <c r="D166" i="242" s="1"/>
  <c r="D171" i="242" s="1"/>
  <c r="K10" i="241"/>
  <c r="I45" i="242"/>
  <c r="J45" i="242" s="1"/>
  <c r="I17" i="242"/>
  <c r="J17" i="242" s="1"/>
  <c r="I138" i="242"/>
  <c r="J138" i="242" s="1"/>
  <c r="I63" i="326"/>
  <c r="J63" i="326" s="1"/>
  <c r="K166" i="326"/>
  <c r="F7" i="325"/>
  <c r="F166" i="325" s="1"/>
  <c r="H7" i="325"/>
  <c r="K75" i="325"/>
  <c r="K166" i="325" s="1"/>
  <c r="I151" i="325"/>
  <c r="J151" i="325" s="1"/>
  <c r="I138" i="333"/>
  <c r="J138" i="333" s="1"/>
  <c r="H10" i="174"/>
  <c r="E75" i="242"/>
  <c r="G7" i="325"/>
  <c r="F117" i="325"/>
  <c r="H117" i="325"/>
  <c r="G138" i="335"/>
  <c r="I138" i="335" s="1"/>
  <c r="J138" i="335" s="1"/>
  <c r="I140" i="335"/>
  <c r="J140" i="335" s="1"/>
  <c r="I99" i="333"/>
  <c r="J99" i="333" s="1"/>
  <c r="I157" i="333"/>
  <c r="J157" i="333" s="1"/>
  <c r="K10" i="330"/>
  <c r="K8" i="241" s="1"/>
  <c r="K6" i="241" s="1"/>
  <c r="K26" i="241" s="1"/>
  <c r="K196" i="323"/>
  <c r="K26" i="272" s="1"/>
  <c r="K207" i="323"/>
  <c r="K27" i="272" s="1"/>
  <c r="K231" i="324"/>
  <c r="K29" i="268" s="1"/>
  <c r="I27" i="335"/>
  <c r="J27" i="335" s="1"/>
  <c r="I8" i="326"/>
  <c r="J8" i="326" s="1"/>
  <c r="C38" i="181"/>
  <c r="C42" i="181" s="1"/>
  <c r="C44" i="181" s="1"/>
  <c r="H45" i="267"/>
  <c r="I45" i="267" s="1"/>
  <c r="K132" i="330"/>
  <c r="K31" i="241" s="1"/>
  <c r="K29" i="241" s="1"/>
  <c r="K149" i="330"/>
  <c r="K39" i="323"/>
  <c r="K9" i="272" s="1"/>
  <c r="K50" i="323"/>
  <c r="K10" i="272" s="1"/>
  <c r="K61" i="323"/>
  <c r="K11" i="272" s="1"/>
  <c r="K185" i="323"/>
  <c r="K25" i="272" s="1"/>
  <c r="J7" i="267"/>
  <c r="K70" i="268"/>
  <c r="K29" i="324"/>
  <c r="K8" i="268" s="1"/>
  <c r="I160" i="242"/>
  <c r="J160" i="242" s="1"/>
  <c r="F29" i="267"/>
  <c r="F33" i="267" s="1"/>
  <c r="F74" i="268"/>
  <c r="I154" i="333"/>
  <c r="J154" i="333" s="1"/>
  <c r="I53" i="333"/>
  <c r="J53" i="333" s="1"/>
  <c r="I154" i="325"/>
  <c r="J154" i="325" s="1"/>
  <c r="H6" i="180"/>
  <c r="B28" i="172"/>
  <c r="J7" i="180"/>
  <c r="B29" i="172"/>
  <c r="H7" i="180"/>
  <c r="J6" i="180"/>
  <c r="G32" i="269"/>
  <c r="G58" i="269" s="1"/>
  <c r="K21" i="175"/>
  <c r="K26" i="175" s="1"/>
  <c r="K27" i="175" s="1"/>
  <c r="E26" i="175"/>
  <c r="E27" i="175" s="1"/>
  <c r="E53" i="172"/>
  <c r="C50" i="267"/>
  <c r="I6" i="268"/>
  <c r="J6" i="268" s="1"/>
  <c r="I6" i="323"/>
  <c r="J6" i="323" s="1"/>
  <c r="I6" i="272"/>
  <c r="J6" i="272" s="1"/>
  <c r="I222" i="330"/>
  <c r="J222" i="330" s="1"/>
  <c r="F128" i="330"/>
  <c r="G99" i="330"/>
  <c r="F6" i="330"/>
  <c r="G6" i="330"/>
  <c r="F38" i="181"/>
  <c r="F42" i="181" s="1"/>
  <c r="F44" i="181" s="1"/>
  <c r="H21" i="267"/>
  <c r="I21" i="267" s="1"/>
  <c r="G38" i="182"/>
  <c r="G42" i="182" s="1"/>
  <c r="G44" i="182" s="1"/>
  <c r="G46" i="182" s="1"/>
  <c r="G48" i="182" s="1"/>
  <c r="I171" i="330"/>
  <c r="J171" i="330" s="1"/>
  <c r="I146" i="330"/>
  <c r="J146" i="330" s="1"/>
  <c r="A1" i="173"/>
  <c r="A1" i="333"/>
  <c r="A1" i="325"/>
  <c r="A1" i="269"/>
  <c r="A1" i="174"/>
  <c r="A1" i="242"/>
  <c r="A1" i="183"/>
  <c r="A1" i="180"/>
  <c r="F26" i="178"/>
  <c r="G39" i="174" s="1"/>
  <c r="F166" i="335"/>
  <c r="D58" i="269"/>
  <c r="E58" i="269"/>
  <c r="C78" i="172"/>
  <c r="B78" i="172" s="1"/>
  <c r="I149" i="330"/>
  <c r="J149" i="330" s="1"/>
  <c r="I37" i="177"/>
  <c r="J37" i="177" s="1"/>
  <c r="I38" i="241"/>
  <c r="J38" i="241" s="1"/>
  <c r="H75" i="330"/>
  <c r="I92" i="330"/>
  <c r="J92" i="330" s="1"/>
  <c r="G171" i="323"/>
  <c r="I61" i="323"/>
  <c r="J61" i="323" s="1"/>
  <c r="G75" i="333"/>
  <c r="I75" i="333" s="1"/>
  <c r="J75" i="333" s="1"/>
  <c r="I154" i="326"/>
  <c r="J154" i="326" s="1"/>
  <c r="F56" i="269"/>
  <c r="K24" i="238"/>
  <c r="L21" i="175"/>
  <c r="G26" i="175"/>
  <c r="G27" i="175" s="1"/>
  <c r="I231" i="324"/>
  <c r="I29" i="268" s="1"/>
  <c r="J29" i="268" s="1"/>
  <c r="I209" i="324"/>
  <c r="J209" i="324" s="1"/>
  <c r="H31" i="267"/>
  <c r="I31" i="267" s="1"/>
  <c r="G45" i="174"/>
  <c r="G7" i="174" s="1"/>
  <c r="H8" i="267"/>
  <c r="I8" i="267" s="1"/>
  <c r="G19" i="241"/>
  <c r="G16" i="241" s="1"/>
  <c r="I151" i="335"/>
  <c r="J151" i="335" s="1"/>
  <c r="I38" i="333"/>
  <c r="J38" i="333" s="1"/>
  <c r="I118" i="333"/>
  <c r="J118" i="333" s="1"/>
  <c r="H25" i="272"/>
  <c r="I25" i="272" s="1"/>
  <c r="J25" i="272" s="1"/>
  <c r="I226" i="330"/>
  <c r="J226" i="330" s="1"/>
  <c r="H44" i="241"/>
  <c r="I44" i="241" s="1"/>
  <c r="J44" i="241" s="1"/>
  <c r="H221" i="330"/>
  <c r="E221" i="330"/>
  <c r="E43" i="241"/>
  <c r="E26" i="330"/>
  <c r="E99" i="330"/>
  <c r="E24" i="241"/>
  <c r="I113" i="330"/>
  <c r="J113" i="330" s="1"/>
  <c r="I49" i="330"/>
  <c r="J49" i="330" s="1"/>
  <c r="B53" i="172"/>
  <c r="F53" i="172"/>
  <c r="G53" i="172"/>
  <c r="K14" i="175"/>
  <c r="J50" i="267" s="1"/>
  <c r="L14" i="175"/>
  <c r="H26" i="175"/>
  <c r="H27" i="175" s="1"/>
  <c r="F102" i="318"/>
  <c r="F104" i="318" s="1"/>
  <c r="N24" i="238"/>
  <c r="F39" i="177"/>
  <c r="H44" i="267"/>
  <c r="I44" i="267" s="1"/>
  <c r="E43" i="267"/>
  <c r="G39" i="177"/>
  <c r="G41" i="177" s="1"/>
  <c r="F46" i="267" s="1"/>
  <c r="I157" i="335"/>
  <c r="J157" i="335" s="1"/>
  <c r="I140" i="333"/>
  <c r="J140" i="333" s="1"/>
  <c r="G117" i="333"/>
  <c r="I117" i="333" s="1"/>
  <c r="J117" i="333" s="1"/>
  <c r="I76" i="333"/>
  <c r="J76" i="333" s="1"/>
  <c r="I45" i="333"/>
  <c r="J45" i="333" s="1"/>
  <c r="I151" i="326"/>
  <c r="J151" i="326" s="1"/>
  <c r="I103" i="242"/>
  <c r="J103" i="242" s="1"/>
  <c r="G49" i="318"/>
  <c r="G106" i="318"/>
  <c r="I30" i="318"/>
  <c r="J30" i="318" s="1"/>
  <c r="I44" i="270"/>
  <c r="J44" i="270" s="1"/>
  <c r="G56" i="270"/>
  <c r="G58" i="270" s="1"/>
  <c r="M24" i="238"/>
  <c r="O12" i="238"/>
  <c r="K15" i="173"/>
  <c r="J52" i="267" s="1"/>
  <c r="F41" i="178"/>
  <c r="H14" i="174"/>
  <c r="G43" i="178"/>
  <c r="G54" i="178" s="1"/>
  <c r="H39" i="174"/>
  <c r="J36" i="267"/>
  <c r="H52" i="174"/>
  <c r="H13" i="174" s="1"/>
  <c r="I9" i="268"/>
  <c r="J9" i="268" s="1"/>
  <c r="I43" i="268"/>
  <c r="J43" i="268" s="1"/>
  <c r="G38" i="181"/>
  <c r="G42" i="181" s="1"/>
  <c r="G44" i="181" s="1"/>
  <c r="E18" i="267"/>
  <c r="E19" i="267" s="1"/>
  <c r="E11" i="267"/>
  <c r="H7" i="267"/>
  <c r="I7" i="267" s="1"/>
  <c r="G339" i="323"/>
  <c r="F43" i="241"/>
  <c r="F39" i="241"/>
  <c r="G39" i="241"/>
  <c r="G197" i="330"/>
  <c r="I189" i="330"/>
  <c r="J189" i="330" s="1"/>
  <c r="F148" i="330"/>
  <c r="I32" i="241"/>
  <c r="J32" i="241" s="1"/>
  <c r="G29" i="241"/>
  <c r="G24" i="241"/>
  <c r="I24" i="241" s="1"/>
  <c r="I108" i="330"/>
  <c r="J108" i="330" s="1"/>
  <c r="F99" i="330"/>
  <c r="F75" i="330"/>
  <c r="F16" i="241"/>
  <c r="I17" i="241"/>
  <c r="J17" i="241" s="1"/>
  <c r="G75" i="330"/>
  <c r="I103" i="335"/>
  <c r="J103" i="335" s="1"/>
  <c r="I27" i="333"/>
  <c r="J27" i="333" s="1"/>
  <c r="I151" i="333"/>
  <c r="J151" i="333" s="1"/>
  <c r="H27" i="268"/>
  <c r="I45" i="241"/>
  <c r="J45" i="241" s="1"/>
  <c r="I177" i="330"/>
  <c r="J177" i="330" s="1"/>
  <c r="I19" i="241"/>
  <c r="J19" i="241" s="1"/>
  <c r="I76" i="330"/>
  <c r="J76" i="330" s="1"/>
  <c r="H26" i="330"/>
  <c r="A1" i="317"/>
  <c r="A1" i="334"/>
  <c r="A1" i="238"/>
  <c r="A1" i="175"/>
  <c r="A1" i="335"/>
  <c r="A1" i="181"/>
  <c r="A1" i="326"/>
  <c r="A1" i="270"/>
  <c r="E166" i="325"/>
  <c r="I161" i="242"/>
  <c r="J161" i="242" s="1"/>
  <c r="I154" i="242"/>
  <c r="J154" i="242" s="1"/>
  <c r="I76" i="242"/>
  <c r="J76" i="242" s="1"/>
  <c r="E7" i="242"/>
  <c r="E166" i="242" s="1"/>
  <c r="K7" i="242"/>
  <c r="K166" i="242" s="1"/>
  <c r="H7" i="242"/>
  <c r="I7" i="242" s="1"/>
  <c r="J7" i="242" s="1"/>
  <c r="G8" i="180"/>
  <c r="I48" i="269"/>
  <c r="J48" i="269" s="1"/>
  <c r="H35" i="269"/>
  <c r="H56" i="269" s="1"/>
  <c r="H8" i="269"/>
  <c r="H32" i="269" s="1"/>
  <c r="K32" i="269"/>
  <c r="K58" i="269" s="1"/>
  <c r="I25" i="269"/>
  <c r="J25" i="269" s="1"/>
  <c r="I8" i="269"/>
  <c r="K56" i="270"/>
  <c r="H18" i="270"/>
  <c r="J22" i="270"/>
  <c r="J18" i="270" s="1"/>
  <c r="I18" i="270"/>
  <c r="H35" i="270"/>
  <c r="H56" i="270" s="1"/>
  <c r="K32" i="270"/>
  <c r="H8" i="270"/>
  <c r="I16" i="270"/>
  <c r="J16" i="270" s="1"/>
  <c r="E41" i="178"/>
  <c r="E43" i="178" s="1"/>
  <c r="E54" i="178" s="1"/>
  <c r="F14" i="174"/>
  <c r="F39" i="174"/>
  <c r="D36" i="267"/>
  <c r="I224" i="324"/>
  <c r="J224" i="324" s="1"/>
  <c r="I220" i="324"/>
  <c r="I28" i="268" s="1"/>
  <c r="J28" i="268" s="1"/>
  <c r="E39" i="268"/>
  <c r="K25" i="268"/>
  <c r="K39" i="268" s="1"/>
  <c r="K341" i="324"/>
  <c r="I191" i="324"/>
  <c r="J191" i="324" s="1"/>
  <c r="H176" i="324"/>
  <c r="H24" i="268" s="1"/>
  <c r="I62" i="324"/>
  <c r="J62" i="324" s="1"/>
  <c r="I40" i="324"/>
  <c r="J40" i="324" s="1"/>
  <c r="E172" i="324"/>
  <c r="E343" i="324" s="1"/>
  <c r="H29" i="324"/>
  <c r="H172" i="324" s="1"/>
  <c r="K7" i="268"/>
  <c r="K21" i="268" s="1"/>
  <c r="H7" i="268"/>
  <c r="I7" i="268" s="1"/>
  <c r="J7" i="268" s="1"/>
  <c r="E6" i="268"/>
  <c r="E21" i="268" s="1"/>
  <c r="E40" i="268" s="1"/>
  <c r="E86" i="268" s="1"/>
  <c r="K74" i="268"/>
  <c r="J29" i="267"/>
  <c r="J33" i="267" s="1"/>
  <c r="I67" i="268"/>
  <c r="J67" i="268" s="1"/>
  <c r="I57" i="268"/>
  <c r="J57" i="268" s="1"/>
  <c r="K63" i="268"/>
  <c r="E63" i="268"/>
  <c r="D18" i="267"/>
  <c r="D19" i="267" s="1"/>
  <c r="D20" i="267" s="1"/>
  <c r="D23" i="267" s="1"/>
  <c r="D25" i="267" s="1"/>
  <c r="F28" i="174"/>
  <c r="K36" i="182"/>
  <c r="H28" i="174"/>
  <c r="I31" i="182"/>
  <c r="J31" i="182" s="1"/>
  <c r="G12" i="267"/>
  <c r="H12" i="267" s="1"/>
  <c r="I12" i="267" s="1"/>
  <c r="H36" i="182"/>
  <c r="H38" i="182" s="1"/>
  <c r="H42" i="182" s="1"/>
  <c r="H44" i="182" s="1"/>
  <c r="H46" i="182" s="1"/>
  <c r="H48" i="182" s="1"/>
  <c r="G13" i="267"/>
  <c r="H13" i="267" s="1"/>
  <c r="I13" i="267" s="1"/>
  <c r="J15" i="267"/>
  <c r="J11" i="267"/>
  <c r="G10" i="267"/>
  <c r="H10" i="267" s="1"/>
  <c r="I10" i="267" s="1"/>
  <c r="H27" i="174"/>
  <c r="E29" i="272"/>
  <c r="H218" i="323"/>
  <c r="I218" i="323" s="1"/>
  <c r="J218" i="323" s="1"/>
  <c r="H196" i="323"/>
  <c r="H26" i="272" s="1"/>
  <c r="I26" i="272" s="1"/>
  <c r="J26" i="272" s="1"/>
  <c r="E39" i="272"/>
  <c r="K24" i="272"/>
  <c r="K39" i="272" s="1"/>
  <c r="E339" i="323"/>
  <c r="H174" i="323"/>
  <c r="I174" i="323" s="1"/>
  <c r="J174" i="323" s="1"/>
  <c r="H11" i="272"/>
  <c r="I11" i="272" s="1"/>
  <c r="J11" i="272" s="1"/>
  <c r="H50" i="323"/>
  <c r="I50" i="323" s="1"/>
  <c r="J50" i="323" s="1"/>
  <c r="I39" i="323"/>
  <c r="J39" i="323" s="1"/>
  <c r="H9" i="272"/>
  <c r="I9" i="272" s="1"/>
  <c r="J9" i="272" s="1"/>
  <c r="I43" i="323"/>
  <c r="J43" i="323" s="1"/>
  <c r="I28" i="323"/>
  <c r="J28" i="323" s="1"/>
  <c r="H8" i="272"/>
  <c r="I8" i="272" s="1"/>
  <c r="J8" i="272" s="1"/>
  <c r="I17" i="323"/>
  <c r="J17" i="323" s="1"/>
  <c r="H7" i="272"/>
  <c r="I7" i="272" s="1"/>
  <c r="J7" i="272" s="1"/>
  <c r="E21" i="272"/>
  <c r="I18" i="323"/>
  <c r="J18" i="323" s="1"/>
  <c r="K21" i="272"/>
  <c r="E171" i="323"/>
  <c r="K171" i="323"/>
  <c r="C339" i="323"/>
  <c r="C341" i="323" s="1"/>
  <c r="C39" i="272"/>
  <c r="C21" i="272"/>
  <c r="H240" i="330"/>
  <c r="H48" i="241" s="1"/>
  <c r="I48" i="241" s="1"/>
  <c r="J48" i="241" s="1"/>
  <c r="I235" i="330"/>
  <c r="J235" i="330" s="1"/>
  <c r="K39" i="241"/>
  <c r="E197" i="330"/>
  <c r="E40" i="241"/>
  <c r="E39" i="241" s="1"/>
  <c r="H186" i="330"/>
  <c r="E33" i="241"/>
  <c r="K34" i="241"/>
  <c r="K33" i="241" s="1"/>
  <c r="K148" i="330"/>
  <c r="E247" i="330"/>
  <c r="E257" i="330" s="1"/>
  <c r="H132" i="330"/>
  <c r="H31" i="241" s="1"/>
  <c r="I31" i="241" s="1"/>
  <c r="J31" i="241" s="1"/>
  <c r="I129" i="330"/>
  <c r="J129" i="330" s="1"/>
  <c r="H30" i="241"/>
  <c r="I30" i="241" s="1"/>
  <c r="J30" i="241" s="1"/>
  <c r="K128" i="330"/>
  <c r="H118" i="330"/>
  <c r="I118" i="330" s="1"/>
  <c r="J118" i="330" s="1"/>
  <c r="I23" i="241"/>
  <c r="J23" i="241" s="1"/>
  <c r="H99" i="330"/>
  <c r="H22" i="241"/>
  <c r="I22" i="241" s="1"/>
  <c r="J22" i="241" s="1"/>
  <c r="I104" i="330"/>
  <c r="J104" i="330" s="1"/>
  <c r="E20" i="241"/>
  <c r="K16" i="241"/>
  <c r="I87" i="330"/>
  <c r="J87" i="330" s="1"/>
  <c r="H18" i="241"/>
  <c r="H16" i="241" s="1"/>
  <c r="E10" i="241"/>
  <c r="K6" i="330"/>
  <c r="K125" i="330" s="1"/>
  <c r="I99" i="318"/>
  <c r="J99" i="318" s="1"/>
  <c r="G102" i="318"/>
  <c r="F106" i="318"/>
  <c r="I67" i="318"/>
  <c r="J67" i="318" s="1"/>
  <c r="O22" i="238"/>
  <c r="F40" i="267"/>
  <c r="F38" i="267"/>
  <c r="G10" i="174"/>
  <c r="G53" i="174"/>
  <c r="G14" i="174" s="1"/>
  <c r="G52" i="174"/>
  <c r="F36" i="267"/>
  <c r="E33" i="267"/>
  <c r="F18" i="267"/>
  <c r="F19" i="267" s="1"/>
  <c r="F38" i="182"/>
  <c r="F42" i="182" s="1"/>
  <c r="F44" i="182" s="1"/>
  <c r="F46" i="182" s="1"/>
  <c r="F48" i="182" s="1"/>
  <c r="F11" i="267"/>
  <c r="G172" i="324"/>
  <c r="I148" i="333"/>
  <c r="J148" i="333" s="1"/>
  <c r="I130" i="333"/>
  <c r="J130" i="333" s="1"/>
  <c r="F117" i="333"/>
  <c r="F75" i="333"/>
  <c r="G7" i="333"/>
  <c r="F7" i="333"/>
  <c r="I8" i="333"/>
  <c r="J8" i="333" s="1"/>
  <c r="G166" i="325"/>
  <c r="I117" i="325"/>
  <c r="J117" i="325" s="1"/>
  <c r="G166" i="242"/>
  <c r="I36" i="181"/>
  <c r="J36" i="181" s="1"/>
  <c r="I44" i="269"/>
  <c r="J44" i="269" s="1"/>
  <c r="F32" i="269"/>
  <c r="J13" i="269"/>
  <c r="I26" i="175"/>
  <c r="I27" i="175" s="1"/>
  <c r="C26" i="175"/>
  <c r="C27" i="175" s="1"/>
  <c r="F26" i="175"/>
  <c r="F27" i="175" s="1"/>
  <c r="H50" i="267"/>
  <c r="H53" i="172"/>
  <c r="G11" i="174"/>
  <c r="D10" i="174"/>
  <c r="C26" i="178"/>
  <c r="C43" i="178" s="1"/>
  <c r="C54" i="178" s="1"/>
  <c r="G341" i="324"/>
  <c r="G26" i="268"/>
  <c r="G39" i="268" s="1"/>
  <c r="I198" i="324"/>
  <c r="J198" i="324" s="1"/>
  <c r="F341" i="324"/>
  <c r="F24" i="268"/>
  <c r="F39" i="268" s="1"/>
  <c r="G11" i="268"/>
  <c r="I10" i="268"/>
  <c r="J10" i="268" s="1"/>
  <c r="F172" i="324"/>
  <c r="F21" i="268"/>
  <c r="C341" i="324"/>
  <c r="C39" i="268"/>
  <c r="C10" i="268"/>
  <c r="C21" i="268"/>
  <c r="F63" i="268"/>
  <c r="G63" i="268"/>
  <c r="B33" i="267"/>
  <c r="H16" i="267"/>
  <c r="I16" i="267" s="1"/>
  <c r="H17" i="267"/>
  <c r="I17" i="267" s="1"/>
  <c r="G55" i="174"/>
  <c r="G17" i="174" s="1"/>
  <c r="I22" i="182"/>
  <c r="J22" i="182" s="1"/>
  <c r="H6" i="267"/>
  <c r="I6" i="267" s="1"/>
  <c r="B19" i="267"/>
  <c r="B20" i="267" s="1"/>
  <c r="B23" i="267" s="1"/>
  <c r="B25" i="267" s="1"/>
  <c r="D28" i="174"/>
  <c r="D26" i="174"/>
  <c r="D17" i="174"/>
  <c r="I29" i="272"/>
  <c r="J29" i="272" s="1"/>
  <c r="G39" i="272"/>
  <c r="F339" i="323"/>
  <c r="F39" i="272"/>
  <c r="F21" i="272"/>
  <c r="F171" i="323"/>
  <c r="I47" i="241"/>
  <c r="J47" i="241" s="1"/>
  <c r="I230" i="330"/>
  <c r="J230" i="330" s="1"/>
  <c r="I46" i="241"/>
  <c r="J46" i="241" s="1"/>
  <c r="G43" i="241"/>
  <c r="F221" i="330"/>
  <c r="G221" i="330"/>
  <c r="I42" i="241"/>
  <c r="J42" i="241" s="1"/>
  <c r="I41" i="241"/>
  <c r="J41" i="241" s="1"/>
  <c r="G148" i="330"/>
  <c r="I36" i="241"/>
  <c r="J36" i="241" s="1"/>
  <c r="F33" i="241"/>
  <c r="I35" i="241"/>
  <c r="J35" i="241" s="1"/>
  <c r="G33" i="241"/>
  <c r="F29" i="241"/>
  <c r="G128" i="330"/>
  <c r="F20" i="241"/>
  <c r="I21" i="241"/>
  <c r="J21" i="241" s="1"/>
  <c r="I14" i="241"/>
  <c r="J14" i="241" s="1"/>
  <c r="G26" i="330"/>
  <c r="I55" i="330"/>
  <c r="J55" i="330" s="1"/>
  <c r="F26" i="330"/>
  <c r="I13" i="241"/>
  <c r="J13" i="241" s="1"/>
  <c r="F10" i="241"/>
  <c r="I27" i="330"/>
  <c r="J27" i="330" s="1"/>
  <c r="G11" i="241"/>
  <c r="G10" i="241" s="1"/>
  <c r="I8" i="241"/>
  <c r="J8" i="241" s="1"/>
  <c r="I7" i="330"/>
  <c r="J7" i="330" s="1"/>
  <c r="F7" i="241"/>
  <c r="F6" i="241" s="1"/>
  <c r="C43" i="241"/>
  <c r="C39" i="241"/>
  <c r="C148" i="330"/>
  <c r="C36" i="241"/>
  <c r="C33" i="241" s="1"/>
  <c r="C128" i="330"/>
  <c r="C247" i="330" s="1"/>
  <c r="C257" i="330" s="1"/>
  <c r="C29" i="241"/>
  <c r="C20" i="241"/>
  <c r="C17" i="241"/>
  <c r="C16" i="241" s="1"/>
  <c r="C10" i="241"/>
  <c r="C125" i="330"/>
  <c r="H7" i="335"/>
  <c r="H17" i="333"/>
  <c r="I17" i="333" s="1"/>
  <c r="J17" i="333" s="1"/>
  <c r="I17" i="325"/>
  <c r="J17" i="325" s="1"/>
  <c r="I7" i="325"/>
  <c r="J7" i="325" s="1"/>
  <c r="H7" i="326"/>
  <c r="I7" i="326" s="1"/>
  <c r="J7" i="326" s="1"/>
  <c r="I75" i="242"/>
  <c r="J75" i="242" s="1"/>
  <c r="H22" i="181"/>
  <c r="H38" i="181" s="1"/>
  <c r="H83" i="318"/>
  <c r="I46" i="318"/>
  <c r="J46" i="318" s="1"/>
  <c r="I37" i="318"/>
  <c r="J37" i="318" s="1"/>
  <c r="H49" i="318"/>
  <c r="I14" i="318"/>
  <c r="J14" i="318" s="1"/>
  <c r="I35" i="269"/>
  <c r="J22" i="269"/>
  <c r="I35" i="270"/>
  <c r="J42" i="270"/>
  <c r="J9" i="270"/>
  <c r="I28" i="177"/>
  <c r="J28" i="177" s="1"/>
  <c r="G43" i="267"/>
  <c r="H43" i="267" s="1"/>
  <c r="I43" i="267" s="1"/>
  <c r="H39" i="177"/>
  <c r="H41" i="177" s="1"/>
  <c r="G46" i="267" s="1"/>
  <c r="I18" i="177"/>
  <c r="J18" i="177" s="1"/>
  <c r="I7" i="177"/>
  <c r="J7" i="177" s="1"/>
  <c r="J231" i="324"/>
  <c r="H25" i="268"/>
  <c r="I187" i="324"/>
  <c r="I51" i="324"/>
  <c r="J51" i="324" s="1"/>
  <c r="G33" i="267"/>
  <c r="H74" i="268"/>
  <c r="I70" i="268"/>
  <c r="J70" i="268" s="1"/>
  <c r="H53" i="268"/>
  <c r="I53" i="268" s="1"/>
  <c r="J53" i="268" s="1"/>
  <c r="H47" i="268"/>
  <c r="H14" i="267"/>
  <c r="I14" i="267" s="1"/>
  <c r="G15" i="267"/>
  <c r="H15" i="267" s="1"/>
  <c r="I15" i="267" s="1"/>
  <c r="H9" i="267"/>
  <c r="I9" i="267" s="1"/>
  <c r="I229" i="323"/>
  <c r="J229" i="323" s="1"/>
  <c r="I221" i="323"/>
  <c r="J221" i="323" s="1"/>
  <c r="H207" i="323"/>
  <c r="I214" i="330"/>
  <c r="J214" i="330" s="1"/>
  <c r="I209" i="330"/>
  <c r="J209" i="330" s="1"/>
  <c r="I40" i="241"/>
  <c r="J40" i="241" s="1"/>
  <c r="H39" i="241"/>
  <c r="I198" i="330"/>
  <c r="J198" i="330" s="1"/>
  <c r="H197" i="330"/>
  <c r="H34" i="241"/>
  <c r="I12" i="241"/>
  <c r="J12" i="241" s="1"/>
  <c r="H10" i="241"/>
  <c r="I10" i="330"/>
  <c r="J10" i="330" s="1"/>
  <c r="H7" i="241"/>
  <c r="H6" i="330"/>
  <c r="G6" i="241" l="1"/>
  <c r="L66" i="317"/>
  <c r="D248" i="330"/>
  <c r="D256" i="330"/>
  <c r="I32" i="268"/>
  <c r="J32" i="268" s="1"/>
  <c r="J264" i="324"/>
  <c r="G22" i="334"/>
  <c r="F28" i="334"/>
  <c r="B2" i="180"/>
  <c r="B2" i="172" s="1"/>
  <c r="C2" i="177"/>
  <c r="A15" i="175"/>
  <c r="C2" i="269"/>
  <c r="C2" i="333"/>
  <c r="C2" i="325"/>
  <c r="C2" i="241"/>
  <c r="C2" i="182"/>
  <c r="C2" i="183"/>
  <c r="C2" i="330"/>
  <c r="C3" i="334"/>
  <c r="B77" i="172"/>
  <c r="D2" i="174"/>
  <c r="C2" i="324"/>
  <c r="C2" i="181"/>
  <c r="C2" i="268"/>
  <c r="C2" i="272"/>
  <c r="C2" i="178"/>
  <c r="C2" i="318"/>
  <c r="C2" i="323"/>
  <c r="C2" i="242"/>
  <c r="C2" i="270"/>
  <c r="A54" i="172"/>
  <c r="A103" i="172" s="1"/>
  <c r="C2" i="335"/>
  <c r="C2" i="326"/>
  <c r="B2" i="267"/>
  <c r="O2" i="317"/>
  <c r="B47" i="100"/>
  <c r="J66" i="317"/>
  <c r="N66" i="317"/>
  <c r="K105" i="318"/>
  <c r="H29" i="267"/>
  <c r="I29" i="267" s="1"/>
  <c r="H166" i="325"/>
  <c r="I166" i="325" s="1"/>
  <c r="J166" i="325" s="1"/>
  <c r="G21" i="272"/>
  <c r="C343" i="324"/>
  <c r="G21" i="268"/>
  <c r="D39" i="174"/>
  <c r="G166" i="335"/>
  <c r="K339" i="323"/>
  <c r="K172" i="324"/>
  <c r="G166" i="326"/>
  <c r="F8" i="180"/>
  <c r="I7" i="180"/>
  <c r="F56" i="317"/>
  <c r="G55" i="317" s="1"/>
  <c r="G56" i="317" s="1"/>
  <c r="H55" i="317" s="1"/>
  <c r="H56" i="317" s="1"/>
  <c r="I55" i="317" s="1"/>
  <c r="I56" i="317" s="1"/>
  <c r="J55" i="317" s="1"/>
  <c r="J56" i="317" s="1"/>
  <c r="K55" i="317" s="1"/>
  <c r="K56" i="317" s="1"/>
  <c r="L55" i="317" s="1"/>
  <c r="L56" i="317" s="1"/>
  <c r="M55" i="317" s="1"/>
  <c r="M56" i="317" s="1"/>
  <c r="N55" i="317" s="1"/>
  <c r="N56" i="317" s="1"/>
  <c r="F66" i="317"/>
  <c r="B102" i="100"/>
  <c r="A1" i="172" s="1"/>
  <c r="B103" i="100"/>
  <c r="A26" i="172" s="1"/>
  <c r="D171" i="326"/>
  <c r="F58" i="269"/>
  <c r="F43" i="178"/>
  <c r="F54" i="178" s="1"/>
  <c r="I240" i="330"/>
  <c r="J240" i="330" s="1"/>
  <c r="H43" i="241"/>
  <c r="G104" i="318"/>
  <c r="O24" i="238"/>
  <c r="G341" i="323"/>
  <c r="G20" i="241"/>
  <c r="G26" i="241" s="1"/>
  <c r="I18" i="269"/>
  <c r="J18" i="269" s="1"/>
  <c r="I27" i="268"/>
  <c r="J27" i="268" s="1"/>
  <c r="H28" i="272"/>
  <c r="I28" i="272" s="1"/>
  <c r="J28" i="272" s="1"/>
  <c r="I196" i="323"/>
  <c r="J196" i="323" s="1"/>
  <c r="H25" i="241"/>
  <c r="I25" i="241" s="1"/>
  <c r="J25" i="241" s="1"/>
  <c r="I75" i="330"/>
  <c r="J75" i="330" s="1"/>
  <c r="G166" i="333"/>
  <c r="H33" i="267"/>
  <c r="I33" i="267" s="1"/>
  <c r="I197" i="330"/>
  <c r="J197" i="330" s="1"/>
  <c r="H32" i="270"/>
  <c r="H58" i="270" s="1"/>
  <c r="H39" i="268"/>
  <c r="I176" i="324"/>
  <c r="I24" i="268" s="1"/>
  <c r="H24" i="272"/>
  <c r="I24" i="272" s="1"/>
  <c r="E49" i="241"/>
  <c r="H46" i="267"/>
  <c r="I46" i="267" s="1"/>
  <c r="I8" i="270"/>
  <c r="J8" i="270" s="1"/>
  <c r="G13" i="174"/>
  <c r="I172" i="324"/>
  <c r="J172" i="324" s="1"/>
  <c r="G343" i="324"/>
  <c r="F343" i="324"/>
  <c r="E20" i="267"/>
  <c r="E23" i="267" s="1"/>
  <c r="E25" i="267" s="1"/>
  <c r="I39" i="241"/>
  <c r="J39" i="241" s="1"/>
  <c r="F247" i="330"/>
  <c r="F257" i="330" s="1"/>
  <c r="G49" i="241"/>
  <c r="F125" i="330"/>
  <c r="F256" i="330" s="1"/>
  <c r="I16" i="241"/>
  <c r="J16" i="241" s="1"/>
  <c r="H7" i="333"/>
  <c r="H166" i="333" s="1"/>
  <c r="J8" i="269"/>
  <c r="H341" i="324"/>
  <c r="H343" i="324" s="1"/>
  <c r="I26" i="268"/>
  <c r="J26" i="268" s="1"/>
  <c r="J220" i="324"/>
  <c r="I36" i="182"/>
  <c r="I38" i="182" s="1"/>
  <c r="J38" i="182" s="1"/>
  <c r="H171" i="323"/>
  <c r="I171" i="323" s="1"/>
  <c r="J171" i="323" s="1"/>
  <c r="H10" i="272"/>
  <c r="I10" i="272" s="1"/>
  <c r="J10" i="272" s="1"/>
  <c r="I221" i="330"/>
  <c r="J221" i="330" s="1"/>
  <c r="I132" i="330"/>
  <c r="J132" i="330" s="1"/>
  <c r="I18" i="241"/>
  <c r="J18" i="241" s="1"/>
  <c r="I26" i="330"/>
  <c r="J26" i="330" s="1"/>
  <c r="H166" i="242"/>
  <c r="I166" i="242" s="1"/>
  <c r="J166" i="242" s="1"/>
  <c r="H166" i="326"/>
  <c r="I166" i="326" s="1"/>
  <c r="J166" i="326" s="1"/>
  <c r="C30" i="172"/>
  <c r="G9" i="180"/>
  <c r="K58" i="270"/>
  <c r="K40" i="268"/>
  <c r="K171" i="242" s="1"/>
  <c r="K343" i="324"/>
  <c r="K86" i="268"/>
  <c r="H8" i="268"/>
  <c r="I29" i="324"/>
  <c r="J29" i="324" s="1"/>
  <c r="H46" i="174"/>
  <c r="H8" i="174" s="1"/>
  <c r="D28" i="267"/>
  <c r="F46" i="174"/>
  <c r="F8" i="174" s="1"/>
  <c r="E171" i="326"/>
  <c r="E171" i="335"/>
  <c r="E171" i="242"/>
  <c r="G18" i="267"/>
  <c r="G19" i="267" s="1"/>
  <c r="H19" i="267" s="1"/>
  <c r="I19" i="267" s="1"/>
  <c r="J18" i="267"/>
  <c r="J19" i="267" s="1"/>
  <c r="J20" i="267" s="1"/>
  <c r="J23" i="267" s="1"/>
  <c r="J25" i="267" s="1"/>
  <c r="H45" i="174"/>
  <c r="H7" i="174" s="1"/>
  <c r="K38" i="182"/>
  <c r="K42" i="182" s="1"/>
  <c r="K44" i="182" s="1"/>
  <c r="K46" i="182" s="1"/>
  <c r="K48" i="182" s="1"/>
  <c r="G11" i="267"/>
  <c r="H11" i="267" s="1"/>
  <c r="I11" i="267" s="1"/>
  <c r="K40" i="272"/>
  <c r="E341" i="323"/>
  <c r="E40" i="272"/>
  <c r="K341" i="323"/>
  <c r="C40" i="272"/>
  <c r="K247" i="330"/>
  <c r="K257" i="330" s="1"/>
  <c r="I186" i="330"/>
  <c r="J186" i="330" s="1"/>
  <c r="H37" i="241"/>
  <c r="I37" i="241" s="1"/>
  <c r="J37" i="241" s="1"/>
  <c r="H148" i="330"/>
  <c r="K49" i="241"/>
  <c r="K50" i="241" s="1"/>
  <c r="H128" i="330"/>
  <c r="I128" i="330" s="1"/>
  <c r="H20" i="241"/>
  <c r="E248" i="330"/>
  <c r="I99" i="330"/>
  <c r="J99" i="330" s="1"/>
  <c r="E26" i="241"/>
  <c r="K256" i="330"/>
  <c r="F20" i="267"/>
  <c r="F23" i="267" s="1"/>
  <c r="F25" i="267" s="1"/>
  <c r="F166" i="333"/>
  <c r="G40" i="268"/>
  <c r="G171" i="242" s="1"/>
  <c r="F40" i="268"/>
  <c r="F171" i="335" s="1"/>
  <c r="I11" i="268"/>
  <c r="J11" i="268" s="1"/>
  <c r="C40" i="268"/>
  <c r="C171" i="335" s="1"/>
  <c r="C171" i="326"/>
  <c r="G26" i="174"/>
  <c r="G28" i="174"/>
  <c r="G27" i="174"/>
  <c r="G40" i="272"/>
  <c r="F40" i="272"/>
  <c r="F341" i="323"/>
  <c r="I43" i="241"/>
  <c r="F49" i="241"/>
  <c r="G247" i="330"/>
  <c r="G257" i="330" s="1"/>
  <c r="G125" i="330"/>
  <c r="F26" i="241"/>
  <c r="I10" i="241"/>
  <c r="J10" i="241" s="1"/>
  <c r="I11" i="241"/>
  <c r="J11" i="241" s="1"/>
  <c r="C49" i="241"/>
  <c r="C248" i="330"/>
  <c r="C26" i="241"/>
  <c r="C256" i="330"/>
  <c r="H166" i="335"/>
  <c r="I166" i="335" s="1"/>
  <c r="J166" i="335" s="1"/>
  <c r="I7" i="335"/>
  <c r="J7" i="335" s="1"/>
  <c r="I22" i="181"/>
  <c r="J22" i="181" s="1"/>
  <c r="I38" i="181"/>
  <c r="J38" i="181" s="1"/>
  <c r="H42" i="181"/>
  <c r="I83" i="318"/>
  <c r="J83" i="318" s="1"/>
  <c r="H102" i="318"/>
  <c r="I102" i="318" s="1"/>
  <c r="J102" i="318" s="1"/>
  <c r="H106" i="318"/>
  <c r="I49" i="318"/>
  <c r="J49" i="318" s="1"/>
  <c r="I56" i="269"/>
  <c r="J56" i="269" s="1"/>
  <c r="J35" i="269"/>
  <c r="H58" i="269"/>
  <c r="I56" i="270"/>
  <c r="J56" i="270" s="1"/>
  <c r="J35" i="270"/>
  <c r="J187" i="324"/>
  <c r="I25" i="268"/>
  <c r="J25" i="268" s="1"/>
  <c r="I74" i="268"/>
  <c r="J74" i="268" s="1"/>
  <c r="I47" i="268"/>
  <c r="H63" i="268"/>
  <c r="I207" i="323"/>
  <c r="J207" i="323" s="1"/>
  <c r="H27" i="272"/>
  <c r="I27" i="272" s="1"/>
  <c r="J27" i="272" s="1"/>
  <c r="H339" i="323"/>
  <c r="I339" i="323" s="1"/>
  <c r="J339" i="323" s="1"/>
  <c r="I34" i="241"/>
  <c r="J34" i="241" s="1"/>
  <c r="H29" i="241"/>
  <c r="J24" i="241"/>
  <c r="I20" i="241"/>
  <c r="H125" i="330"/>
  <c r="I6" i="330"/>
  <c r="J6" i="330" s="1"/>
  <c r="H6" i="241"/>
  <c r="I7" i="241"/>
  <c r="J7" i="241" s="1"/>
  <c r="E50" i="241" l="1"/>
  <c r="K171" i="326"/>
  <c r="F9" i="180"/>
  <c r="H8" i="180"/>
  <c r="J8" i="180"/>
  <c r="I8" i="180"/>
  <c r="B30" i="172"/>
  <c r="G28" i="334"/>
  <c r="F49" i="334"/>
  <c r="G49" i="334" s="1"/>
  <c r="J43" i="241"/>
  <c r="I32" i="269"/>
  <c r="J32" i="269" s="1"/>
  <c r="I166" i="333"/>
  <c r="J166" i="333" s="1"/>
  <c r="J176" i="324"/>
  <c r="H104" i="318"/>
  <c r="I104" i="318" s="1"/>
  <c r="J104" i="318" s="1"/>
  <c r="I341" i="324"/>
  <c r="J341" i="324" s="1"/>
  <c r="H21" i="272"/>
  <c r="H39" i="272"/>
  <c r="H33" i="241"/>
  <c r="I33" i="241" s="1"/>
  <c r="J33" i="241" s="1"/>
  <c r="I32" i="270"/>
  <c r="I58" i="270" s="1"/>
  <c r="J58" i="270" s="1"/>
  <c r="I343" i="324"/>
  <c r="J343" i="324" s="1"/>
  <c r="J36" i="182"/>
  <c r="F248" i="330"/>
  <c r="G50" i="241"/>
  <c r="I7" i="333"/>
  <c r="J7" i="333" s="1"/>
  <c r="H18" i="267"/>
  <c r="I18" i="267" s="1"/>
  <c r="G20" i="267"/>
  <c r="G23" i="267" s="1"/>
  <c r="I21" i="272"/>
  <c r="H247" i="330"/>
  <c r="H257" i="330" s="1"/>
  <c r="G10" i="180"/>
  <c r="C31" i="172"/>
  <c r="J28" i="267"/>
  <c r="K171" i="335"/>
  <c r="H21" i="268"/>
  <c r="H40" i="268" s="1"/>
  <c r="H86" i="268" s="1"/>
  <c r="I8" i="268"/>
  <c r="J8" i="268" s="1"/>
  <c r="K248" i="330"/>
  <c r="I148" i="330"/>
  <c r="J148" i="330" s="1"/>
  <c r="J20" i="241"/>
  <c r="G171" i="335"/>
  <c r="F28" i="267"/>
  <c r="G46" i="174"/>
  <c r="G8" i="174" s="1"/>
  <c r="G86" i="268"/>
  <c r="G171" i="326"/>
  <c r="F171" i="242"/>
  <c r="F86" i="268"/>
  <c r="E28" i="267"/>
  <c r="F171" i="326"/>
  <c r="D46" i="174"/>
  <c r="D8" i="174" s="1"/>
  <c r="C86" i="268"/>
  <c r="B28" i="267"/>
  <c r="C171" i="242"/>
  <c r="F50" i="241"/>
  <c r="G256" i="330"/>
  <c r="G248" i="330"/>
  <c r="C50" i="241"/>
  <c r="I42" i="181"/>
  <c r="J42" i="181" s="1"/>
  <c r="H44" i="181"/>
  <c r="I44" i="181" s="1"/>
  <c r="J44" i="181" s="1"/>
  <c r="I106" i="318"/>
  <c r="J106" i="318" s="1"/>
  <c r="J24" i="268"/>
  <c r="I39" i="268"/>
  <c r="J47" i="268"/>
  <c r="I63" i="268"/>
  <c r="J63" i="268" s="1"/>
  <c r="H341" i="323"/>
  <c r="I341" i="323" s="1"/>
  <c r="J341" i="323" s="1"/>
  <c r="I39" i="272"/>
  <c r="J24" i="272"/>
  <c r="I29" i="241"/>
  <c r="J128" i="330"/>
  <c r="H26" i="241"/>
  <c r="I6" i="241"/>
  <c r="H256" i="330"/>
  <c r="I125" i="330"/>
  <c r="I9" i="180" l="1"/>
  <c r="H9" i="180"/>
  <c r="B31" i="172"/>
  <c r="J9" i="180"/>
  <c r="F10" i="180"/>
  <c r="I58" i="269"/>
  <c r="J58" i="269" s="1"/>
  <c r="J39" i="272"/>
  <c r="H20" i="267"/>
  <c r="I20" i="267" s="1"/>
  <c r="H40" i="272"/>
  <c r="J21" i="272"/>
  <c r="I49" i="241"/>
  <c r="H49" i="241"/>
  <c r="H50" i="241" s="1"/>
  <c r="J32" i="270"/>
  <c r="I247" i="330"/>
  <c r="I257" i="330" s="1"/>
  <c r="I21" i="268"/>
  <c r="I40" i="268" s="1"/>
  <c r="J40" i="268" s="1"/>
  <c r="H248" i="330"/>
  <c r="I248" i="330" s="1"/>
  <c r="J248" i="330" s="1"/>
  <c r="C32" i="172"/>
  <c r="G11" i="180"/>
  <c r="H171" i="326"/>
  <c r="H171" i="242"/>
  <c r="H171" i="335"/>
  <c r="G28" i="267"/>
  <c r="H28" i="267" s="1"/>
  <c r="I28" i="267" s="1"/>
  <c r="J39" i="268"/>
  <c r="H23" i="267"/>
  <c r="I23" i="267" s="1"/>
  <c r="G25" i="267"/>
  <c r="H25" i="267" s="1"/>
  <c r="I25" i="267" s="1"/>
  <c r="I40" i="272"/>
  <c r="J29" i="241"/>
  <c r="I256" i="330"/>
  <c r="J125" i="330"/>
  <c r="I26" i="241"/>
  <c r="J6" i="241"/>
  <c r="B32" i="172" l="1"/>
  <c r="F11" i="180"/>
  <c r="J10" i="180"/>
  <c r="H10" i="180"/>
  <c r="I10" i="180"/>
  <c r="J40" i="272"/>
  <c r="J49" i="241"/>
  <c r="J21" i="268"/>
  <c r="J247" i="330"/>
  <c r="G12" i="180"/>
  <c r="C33" i="172"/>
  <c r="J26" i="241"/>
  <c r="I50" i="241"/>
  <c r="J50" i="241" s="1"/>
  <c r="B33" i="172" l="1"/>
  <c r="F12" i="180"/>
  <c r="H11" i="180"/>
  <c r="I11" i="180"/>
  <c r="J11" i="180"/>
  <c r="C34" i="172"/>
  <c r="G13" i="180"/>
  <c r="H12" i="180" l="1"/>
  <c r="I12" i="180"/>
  <c r="B34" i="172"/>
  <c r="J12" i="180"/>
  <c r="F13" i="180"/>
  <c r="G14" i="180"/>
  <c r="C35" i="172"/>
  <c r="B35" i="172" l="1"/>
  <c r="H13" i="180"/>
  <c r="I13" i="180"/>
  <c r="F14" i="180"/>
  <c r="J13" i="180"/>
  <c r="C36" i="172"/>
  <c r="G15" i="180"/>
  <c r="J14" i="180" l="1"/>
  <c r="H14" i="180"/>
  <c r="B36" i="172"/>
  <c r="F15" i="180"/>
  <c r="I14" i="180"/>
  <c r="G16" i="180"/>
  <c r="C37" i="172"/>
  <c r="H15" i="180" l="1"/>
  <c r="B37" i="172"/>
  <c r="F16" i="180"/>
  <c r="I15" i="180"/>
  <c r="J15" i="180"/>
  <c r="C38" i="172"/>
  <c r="G17" i="180"/>
  <c r="C39" i="172" s="1"/>
  <c r="I16" i="180" l="1"/>
  <c r="J16" i="180"/>
  <c r="H16" i="180"/>
  <c r="F17" i="180"/>
  <c r="B38" i="172"/>
  <c r="B39" i="172" l="1"/>
  <c r="J17" i="180"/>
  <c r="I17" i="180"/>
  <c r="H17" i="180"/>
</calcChain>
</file>

<file path=xl/sharedStrings.xml><?xml version="1.0" encoding="utf-8"?>
<sst xmlns="http://schemas.openxmlformats.org/spreadsheetml/2006/main" count="2990" uniqueCount="1477">
  <si>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</si>
  <si>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</si>
  <si>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</si>
  <si>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</si>
  <si>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</si>
  <si>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</si>
  <si>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</si>
  <si>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</si>
  <si>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</si>
  <si>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</si>
  <si>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</si>
  <si>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</si>
  <si>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</si>
  <si>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</si>
  <si>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</si>
  <si>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</si>
  <si>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</si>
  <si>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</si>
  <si>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</si>
  <si>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</si>
  <si>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</si>
  <si>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</si>
  <si>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</si>
  <si>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</si>
  <si>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</si>
  <si>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</si>
  <si>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</si>
  <si>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</si>
  <si>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</si>
  <si>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</si>
  <si>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</si>
  <si>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</si>
  <si>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</si>
  <si>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</si>
  <si>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</si>
  <si>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</si>
  <si>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</si>
  <si>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</si>
  <si>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</si>
  <si>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</si>
  <si>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</si>
  <si>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</si>
  <si>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</si>
  <si>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</si>
  <si>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</si>
  <si>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</si>
  <si>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</si>
  <si>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</si>
  <si>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</si>
  <si>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</si>
  <si>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</si>
  <si>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</si>
  <si>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</si>
  <si>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</si>
  <si>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</si>
  <si>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</si>
  <si>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</si>
  <si>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</si>
  <si>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</si>
  <si>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</si>
  <si>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</si>
  <si>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</si>
  <si>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</si>
  <si>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</si>
  <si>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</si>
  <si>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</si>
  <si>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</si>
  <si>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</si>
  <si>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</si>
  <si>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</si>
  <si>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</si>
  <si>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</si>
  <si>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</si>
  <si>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</si>
  <si>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</si>
  <si>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</si>
  <si>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</si>
  <si>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</si>
  <si>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</si>
  <si>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</si>
  <si>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</si>
  <si>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</si>
  <si>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</si>
  <si>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</si>
  <si>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</si>
  <si>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</si>
  <si>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</si>
  <si>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</si>
  <si>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</si>
  <si>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</si>
  <si>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</si>
  <si>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</si>
  <si>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</si>
  <si>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</si>
  <si>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</si>
  <si>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</si>
  <si>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</si>
  <si>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</si>
  <si>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</si>
  <si>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</si>
  <si>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</si>
  <si>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</si>
  <si>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</si>
  <si>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</si>
  <si>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</si>
  <si>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</si>
  <si>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</si>
  <si>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</si>
  <si>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</si>
  <si>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</si>
  <si>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</si>
  <si>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</si>
  <si>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</si>
  <si>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</si>
  <si>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</si>
  <si>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</si>
  <si>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</si>
  <si>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</si>
  <si>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</si>
  <si>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</si>
  <si>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</si>
  <si>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</si>
  <si>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</si>
  <si>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</si>
  <si>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</si>
  <si>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</si>
  <si>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</si>
  <si>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</si>
  <si>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</si>
  <si>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</si>
  <si>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</si>
  <si>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</si>
  <si>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</si>
  <si>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</si>
  <si>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</si>
  <si>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</si>
  <si>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</si>
  <si>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</si>
  <si>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</si>
  <si>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</si>
  <si>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</si>
  <si>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</si>
  <si>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</si>
  <si>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</si>
  <si>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</si>
  <si>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</si>
  <si>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</si>
  <si>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</si>
  <si>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</si>
  <si>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</si>
  <si>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</si>
  <si>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</si>
  <si>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</si>
  <si>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</si>
  <si>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</si>
  <si>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</si>
  <si>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</si>
  <si>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</si>
  <si>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</si>
  <si>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</si>
  <si>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</si>
  <si>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</si>
  <si>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</si>
  <si>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</si>
  <si>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</si>
  <si>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</si>
  <si>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</si>
  <si>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</si>
  <si>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</si>
  <si>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</si>
  <si>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</si>
  <si>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</si>
  <si>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</si>
  <si>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</si>
  <si>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</si>
  <si>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</si>
  <si>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</si>
  <si>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</si>
  <si>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</si>
  <si>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</si>
  <si>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</si>
  <si>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</si>
  <si>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</si>
  <si>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</si>
  <si>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</si>
  <si>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</si>
  <si>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</si>
  <si>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</si>
  <si>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</si>
  <si>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</si>
  <si>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</si>
  <si>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</si>
  <si>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</si>
  <si>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</si>
  <si>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</si>
  <si>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</si>
  <si>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</si>
  <si>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</si>
  <si>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</si>
  <si>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</si>
  <si>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</si>
  <si>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</si>
  <si>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</si>
  <si>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</si>
  <si>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</si>
  <si>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</si>
  <si>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</si>
  <si>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</si>
  <si>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</si>
  <si>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</si>
  <si>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</si>
  <si>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</si>
  <si>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</si>
  <si>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</si>
  <si>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</si>
  <si>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</si>
  <si>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</si>
  <si>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</si>
  <si>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</si>
  <si>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</si>
  <si>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</si>
  <si>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</si>
  <si>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</si>
  <si>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</si>
  <si>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</si>
  <si>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</si>
  <si>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</si>
  <si>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</si>
  <si>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</si>
  <si>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</si>
  <si>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</si>
  <si>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</si>
  <si>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</si>
  <si>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</si>
  <si>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</si>
  <si>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</si>
  <si>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</si>
  <si>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</si>
  <si>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</si>
  <si>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</si>
  <si>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</si>
  <si>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</si>
  <si>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</si>
  <si>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</si>
  <si>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</si>
  <si>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</si>
  <si>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</si>
  <si>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</si>
  <si>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</si>
  <si>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</si>
  <si>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</si>
  <si>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</si>
  <si>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</si>
  <si>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</si>
  <si>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</si>
  <si>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</si>
  <si>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</si>
  <si>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</si>
  <si>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</si>
  <si>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</si>
  <si>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</si>
  <si>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</si>
  <si>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</si>
  <si>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</si>
  <si>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</si>
  <si>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</si>
  <si>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</si>
  <si>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</si>
  <si>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</si>
  <si>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</si>
  <si>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</si>
  <si>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</si>
  <si>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</si>
  <si>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</si>
  <si>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</si>
  <si>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</si>
  <si>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</si>
  <si>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</si>
  <si>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</si>
  <si>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</si>
  <si>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</si>
  <si>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</si>
  <si>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</si>
  <si>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</si>
  <si>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</si>
  <si>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</si>
  <si>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</si>
  <si>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</si>
  <si>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</si>
  <si>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</si>
  <si>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</si>
  <si>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</si>
  <si>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</si>
  <si>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</si>
  <si>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</si>
  <si>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</si>
  <si>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</si>
  <si>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</si>
  <si>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</si>
  <si>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</si>
  <si>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</si>
  <si>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</si>
  <si>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</si>
  <si>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</si>
  <si>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</si>
  <si>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</si>
  <si>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</si>
  <si>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</si>
  <si>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</si>
  <si>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</si>
  <si>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</si>
  <si>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</si>
  <si>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</si>
  <si>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</si>
  <si>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</si>
  <si>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</si>
  <si>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</si>
  <si>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</si>
  <si>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</si>
  <si>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</si>
  <si>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</si>
  <si>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</si>
  <si>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</si>
  <si>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</si>
  <si>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</si>
  <si>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</si>
  <si>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</si>
  <si>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</si>
  <si>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</si>
  <si>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</si>
  <si>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</si>
  <si>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</si>
  <si>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</si>
  <si>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</si>
  <si>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</si>
  <si>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</si>
  <si>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</si>
  <si>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</si>
  <si>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</si>
  <si>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</si>
  <si>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</si>
  <si>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</si>
  <si>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</si>
  <si>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</si>
  <si>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</si>
  <si>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</si>
  <si>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</si>
  <si>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</si>
  <si>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</si>
  <si>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</si>
  <si>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</si>
  <si>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</si>
  <si>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</si>
  <si>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</si>
  <si>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</si>
  <si>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</si>
  <si>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</si>
  <si>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</si>
  <si>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</si>
  <si>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</si>
  <si>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</si>
  <si>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</si>
  <si>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</si>
  <si>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</si>
  <si>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</si>
  <si>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</si>
  <si>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</si>
  <si>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</si>
  <si>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</si>
  <si>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</si>
  <si>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</si>
  <si>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</si>
  <si>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</si>
  <si>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</si>
  <si>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</si>
  <si>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</si>
  <si>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</si>
  <si>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</si>
  <si>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</si>
  <si>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</si>
  <si>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</si>
  <si>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</si>
  <si>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</si>
  <si>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</si>
  <si>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</si>
  <si>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</si>
  <si>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</si>
  <si>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</si>
  <si>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</si>
  <si>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</si>
  <si>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</si>
  <si>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</si>
  <si>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</si>
  <si>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</si>
  <si>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</si>
  <si>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</si>
  <si>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</si>
  <si>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</si>
  <si>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</si>
  <si>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</si>
  <si>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</si>
  <si>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</si>
  <si>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</si>
  <si>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</si>
  <si>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</si>
  <si>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</si>
  <si>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</si>
  <si>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</si>
  <si>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</si>
  <si>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</si>
  <si>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</si>
  <si>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</si>
  <si>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</si>
  <si>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</si>
  <si>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</si>
  <si>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</si>
  <si>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</si>
  <si>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</si>
  <si>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</si>
  <si>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</si>
  <si>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</si>
  <si>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</si>
  <si>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</si>
  <si>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</si>
  <si>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</si>
  <si>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</si>
  <si>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</si>
  <si>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</si>
  <si>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</si>
  <si>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</si>
  <si>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</si>
  <si>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</si>
  <si>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</si>
  <si>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</si>
  <si>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</si>
  <si>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</si>
  <si>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</si>
  <si>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</si>
  <si>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</si>
  <si>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</si>
  <si>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</si>
  <si>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</si>
  <si>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</si>
  <si>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</si>
  <si>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</si>
  <si>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</si>
  <si>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</si>
  <si>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</si>
  <si>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</si>
  <si>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</si>
  <si>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</si>
  <si>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</si>
  <si>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</si>
  <si>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</si>
  <si>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</si>
  <si>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</si>
  <si>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</si>
  <si>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</si>
  <si>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</si>
  <si>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</si>
  <si>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</si>
  <si>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</si>
  <si>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</si>
  <si>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</si>
  <si>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</si>
  <si>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</si>
  <si>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</si>
  <si>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</si>
  <si>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</si>
  <si>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</si>
  <si>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</si>
  <si>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</si>
  <si>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</si>
  <si>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</si>
  <si>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</si>
  <si>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</si>
  <si>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</si>
  <si>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</si>
  <si>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</si>
  <si>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</si>
  <si>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</si>
  <si>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</si>
  <si>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</si>
  <si>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</si>
  <si>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</si>
  <si>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</si>
  <si>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</si>
  <si>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</si>
  <si>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</si>
  <si>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</si>
  <si>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</si>
  <si>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</si>
  <si>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</si>
  <si>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</si>
  <si>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</si>
  <si>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</si>
  <si>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</si>
  <si>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</si>
  <si>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</si>
  <si>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</si>
  <si>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</si>
  <si>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</si>
  <si>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</si>
  <si>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</si>
  <si>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</si>
  <si>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</si>
  <si>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</si>
  <si>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</si>
  <si>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</si>
  <si>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</si>
  <si>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</si>
  <si>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</si>
  <si>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</si>
  <si>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</si>
  <si>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</si>
  <si>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</si>
  <si>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</si>
  <si>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</si>
  <si>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</si>
  <si>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</si>
  <si>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</si>
  <si>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</si>
  <si>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</si>
  <si>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</si>
  <si>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</si>
  <si>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</si>
  <si>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</si>
  <si>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</si>
  <si>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</si>
  <si>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</si>
  <si>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</si>
  <si>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</si>
  <si>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</si>
  <si>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</si>
  <si>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</si>
  <si>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</si>
  <si>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</si>
  <si>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</si>
  <si>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</si>
  <si>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</si>
  <si>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</si>
  <si>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</si>
  <si>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</si>
  <si>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</si>
  <si>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</si>
  <si>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</si>
  <si>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</si>
  <si>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</si>
  <si>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</si>
  <si>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</si>
  <si>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</si>
  <si>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</si>
  <si>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</si>
  <si>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</si>
  <si>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</si>
  <si>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</si>
  <si>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</si>
  <si>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</si>
  <si>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</si>
  <si>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</si>
  <si>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</si>
  <si>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</si>
  <si>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</si>
  <si>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</si>
  <si>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</si>
  <si>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</si>
  <si>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</si>
  <si>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</si>
  <si>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</si>
  <si>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</si>
  <si>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</si>
  <si>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</si>
  <si>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</si>
  <si>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</si>
  <si>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</si>
  <si>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</si>
  <si>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</si>
  <si>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</si>
  <si>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</si>
  <si>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</si>
  <si>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</si>
  <si>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</si>
  <si>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</si>
  <si>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</si>
  <si>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</si>
  <si>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</si>
  <si>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</si>
  <si>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</si>
  <si>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</si>
  <si>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</si>
  <si>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</si>
  <si>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</si>
  <si>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</si>
  <si>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</si>
  <si>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</si>
  <si>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</si>
  <si>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</si>
  <si>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</si>
  <si>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</si>
  <si>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</si>
  <si>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</si>
  <si>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</si>
  <si>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</si>
  <si>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</si>
  <si>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</si>
  <si>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</si>
  <si>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</si>
  <si>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</si>
  <si>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</si>
  <si>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</si>
  <si>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</si>
  <si>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</si>
  <si>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</si>
  <si>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</si>
  <si>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</si>
  <si>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</si>
  <si>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</si>
  <si>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</si>
  <si>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</si>
  <si>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</si>
  <si>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</si>
  <si>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</si>
  <si>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</si>
  <si>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</si>
  <si>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</si>
  <si>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</si>
  <si>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</si>
  <si>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</si>
  <si>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</si>
  <si>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</si>
  <si>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</si>
  <si>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</si>
  <si>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</si>
  <si>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</si>
  <si>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</si>
  <si>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</si>
  <si>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</si>
  <si>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</si>
  <si>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</si>
  <si>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</si>
  <si>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</si>
  <si>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</si>
  <si>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</si>
  <si>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</si>
  <si>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</si>
  <si>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</si>
  <si>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</si>
  <si>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</si>
  <si>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</si>
  <si>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</si>
  <si>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</si>
  <si>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</si>
  <si>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</si>
  <si>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</si>
  <si>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</si>
  <si>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</si>
  <si>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</si>
  <si>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</si>
  <si>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</si>
  <si>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</si>
  <si>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</si>
  <si>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</si>
  <si>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</si>
  <si>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</si>
  <si>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</si>
  <si>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</si>
  <si>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</si>
  <si>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</si>
  <si>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</si>
  <si>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</si>
  <si>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</si>
  <si>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</si>
  <si>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</si>
  <si>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</si>
  <si>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</si>
  <si>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</si>
  <si>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</si>
  <si>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</si>
  <si>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</si>
  <si>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</si>
  <si>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</si>
  <si>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</si>
  <si>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</si>
  <si>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</si>
  <si>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</si>
  <si>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</si>
  <si>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</si>
  <si>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</si>
  <si>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</si>
  <si>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</si>
  <si>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</si>
  <si>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</si>
  <si>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</si>
  <si>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</si>
  <si>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</si>
  <si>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</si>
  <si>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</si>
  <si>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</si>
  <si>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</si>
  <si>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</si>
  <si>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</si>
  <si>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</si>
  <si>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</si>
  <si>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</si>
  <si>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</si>
  <si>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</si>
  <si>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</si>
  <si>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</si>
  <si>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</si>
  <si>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</si>
  <si>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</si>
  <si>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</si>
  <si>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</si>
  <si>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</si>
  <si>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</si>
  <si>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</si>
  <si>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</si>
  <si>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</si>
  <si>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</si>
  <si>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</si>
  <si>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</si>
  <si>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</si>
  <si>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</si>
  <si>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</si>
  <si>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</si>
  <si>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</si>
  <si>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</si>
  <si>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</si>
  <si>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</si>
  <si>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</si>
  <si>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</si>
  <si>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</si>
  <si>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</si>
  <si>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</si>
  <si>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</si>
  <si>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</si>
  <si>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</si>
  <si>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</si>
  <si>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</si>
  <si>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</si>
  <si>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</si>
  <si>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</si>
  <si>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</si>
  <si>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</si>
  <si>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</si>
  <si>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</si>
  <si>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</si>
  <si>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</si>
  <si>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</si>
  <si>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</si>
  <si>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</si>
  <si>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</si>
  <si>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</si>
  <si>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</si>
  <si>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</si>
  <si>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</si>
  <si>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</si>
  <si>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</si>
  <si>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</si>
  <si>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</si>
  <si>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</si>
  <si>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</si>
  <si>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</si>
  <si>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</si>
  <si>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</si>
  <si>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</si>
  <si>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</si>
  <si>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</si>
  <si>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</si>
  <si>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</si>
  <si>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</si>
  <si>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</si>
  <si>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</si>
  <si>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</si>
  <si>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</si>
  <si>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</si>
  <si>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</si>
  <si>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</si>
  <si>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</si>
  <si>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</si>
  <si>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</si>
  <si>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</si>
  <si>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</si>
  <si>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</si>
  <si>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</si>
  <si>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</si>
  <si>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</si>
  <si>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</si>
  <si>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</si>
  <si>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</si>
  <si>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</si>
  <si>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</si>
  <si>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</si>
  <si>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</si>
  <si>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</si>
  <si>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</si>
  <si>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</si>
  <si>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</si>
  <si>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</si>
  <si>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</si>
  <si>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</si>
  <si>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</si>
  <si>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</si>
  <si>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</si>
  <si>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</si>
  <si>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</si>
  <si>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</si>
  <si>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</si>
  <si>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</si>
  <si>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</si>
  <si>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</si>
  <si>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</si>
  <si>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</si>
  <si>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</si>
  <si>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</si>
  <si>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</si>
  <si>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</si>
  <si>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</si>
  <si>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</si>
  <si>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</si>
  <si>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</si>
  <si>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</si>
  <si>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</si>
  <si>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</si>
  <si>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</si>
  <si>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</si>
  <si>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</si>
  <si>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</si>
  <si>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</si>
  <si>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</si>
  <si>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</si>
  <si>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</si>
  <si>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</si>
  <si>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</si>
  <si>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</si>
  <si>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</si>
  <si>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</si>
  <si>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</si>
  <si>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</si>
  <si>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</si>
  <si>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</si>
  <si>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</si>
  <si>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</si>
  <si>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</si>
  <si>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</si>
  <si>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</si>
  <si>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</si>
  <si>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</si>
  <si>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</si>
  <si>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</si>
  <si>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</si>
  <si>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</si>
  <si>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</si>
  <si>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</si>
  <si>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</si>
  <si>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</si>
  <si>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</si>
  <si>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</si>
  <si>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</si>
  <si>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</si>
  <si>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</si>
  <si>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</si>
  <si>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</si>
  <si>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</si>
  <si>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</si>
  <si>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</si>
  <si>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</si>
  <si>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</si>
  <si>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</si>
  <si>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</si>
  <si>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</si>
  <si>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</si>
  <si>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</si>
  <si>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</si>
  <si>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</si>
  <si>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</si>
  <si>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</si>
  <si>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</si>
  <si>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</si>
  <si>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</si>
  <si>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</si>
  <si>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</si>
  <si>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</si>
  <si>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</si>
  <si>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</si>
  <si>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</si>
  <si>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</si>
  <si>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</si>
  <si>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</si>
  <si>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</si>
  <si>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</si>
  <si>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</si>
  <si>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</si>
  <si>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</si>
  <si>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</si>
  <si>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</si>
  <si>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</si>
  <si>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</si>
  <si>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</si>
  <si>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</si>
  <si>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</si>
  <si>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</si>
  <si>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</si>
  <si>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</si>
  <si>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</si>
  <si>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</si>
  <si>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</si>
  <si>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</si>
  <si>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</si>
  <si>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</si>
  <si>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</si>
  <si>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</si>
  <si>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</si>
  <si>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</si>
  <si>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</si>
  <si>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</si>
  <si>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</si>
  <si>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</si>
  <si>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</si>
  <si>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</si>
  <si>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</si>
  <si>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</si>
  <si>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</si>
  <si>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</si>
  <si>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</si>
  <si>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</si>
  <si>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</si>
  <si>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</si>
  <si>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</si>
  <si>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</si>
  <si>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</si>
  <si>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</si>
  <si>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</si>
  <si>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</si>
  <si>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</si>
  <si>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</si>
  <si>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</si>
  <si>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</si>
  <si>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</si>
  <si>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</si>
  <si>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</si>
  <si>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</si>
  <si>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</si>
  <si>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</si>
  <si>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</si>
  <si>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</si>
  <si>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</si>
  <si>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</si>
  <si>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</si>
  <si>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</si>
  <si>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</si>
  <si>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</si>
  <si>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</si>
  <si>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</si>
  <si>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</si>
  <si>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</si>
  <si>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</si>
  <si>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</si>
  <si>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</si>
  <si>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</si>
  <si>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</si>
  <si>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</si>
  <si>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</si>
  <si>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</si>
  <si>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</si>
  <si>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</si>
  <si>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</si>
  <si>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</si>
  <si>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</si>
  <si>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</si>
  <si>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</si>
  <si>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</si>
  <si>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</si>
  <si>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</si>
  <si>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</si>
  <si>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</si>
  <si>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</si>
  <si>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</si>
  <si>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</si>
  <si>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</si>
  <si>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</si>
  <si>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</si>
  <si>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</si>
  <si>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</si>
  <si>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</si>
  <si>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</si>
  <si>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</si>
  <si>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</si>
  <si>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</si>
  <si>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</si>
  <si>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</si>
  <si>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</si>
  <si>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</si>
  <si>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</si>
  <si>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</si>
  <si>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</si>
  <si>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</si>
  <si>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</si>
  <si>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</si>
  <si>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</si>
  <si>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</si>
  <si>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</si>
  <si>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</si>
  <si>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</si>
  <si>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</si>
  <si>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</si>
  <si>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</si>
  <si>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</si>
  <si>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</si>
  <si>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</si>
  <si>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</si>
  <si>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</si>
  <si>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</si>
  <si>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</si>
  <si>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</si>
  <si>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</si>
  <si>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</si>
  <si>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</si>
  <si>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</si>
  <si>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</si>
  <si>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</si>
  <si>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</si>
  <si>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</si>
  <si>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</si>
  <si>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</si>
  <si>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</si>
  <si>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</si>
  <si>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</si>
  <si>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</si>
  <si>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</si>
  <si>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</si>
  <si>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</si>
  <si>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</si>
  <si>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</si>
  <si>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</si>
  <si>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</si>
  <si>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</si>
  <si>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</si>
  <si>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</si>
  <si>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</si>
  <si>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</si>
  <si>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</si>
  <si>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</si>
  <si>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</si>
  <si>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</si>
  <si>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</si>
  <si>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</si>
  <si>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</si>
  <si>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</si>
  <si>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</si>
  <si>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</si>
  <si>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</si>
  <si>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</si>
  <si>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</si>
  <si>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</si>
  <si>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</si>
  <si>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</si>
  <si>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</si>
  <si>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</si>
  <si>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</si>
  <si>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</si>
  <si>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</si>
  <si>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</si>
  <si>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</si>
  <si>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</si>
  <si>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</si>
  <si>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</si>
  <si>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</si>
  <si>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</si>
  <si>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</si>
  <si>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</si>
  <si>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</si>
  <si>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</si>
  <si>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</si>
  <si>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</si>
  <si>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</si>
  <si>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</si>
  <si>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</si>
  <si>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</si>
  <si>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</si>
  <si>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</si>
  <si>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</si>
  <si>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</si>
  <si>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</si>
  <si>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</si>
  <si>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</si>
  <si>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</si>
  <si>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</si>
  <si>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</si>
  <si>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</si>
  <si>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</si>
  <si>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</si>
  <si>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</si>
  <si>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</si>
  <si>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</si>
  <si>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</si>
  <si>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</si>
  <si>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</si>
  <si>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</si>
  <si>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</si>
  <si>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</si>
  <si>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</si>
  <si>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</si>
  <si>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</si>
  <si>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</si>
  <si>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</si>
  <si>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</si>
  <si>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</si>
  <si>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</si>
  <si>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</si>
  <si>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</si>
  <si>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</si>
  <si>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</si>
  <si>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</si>
  <si>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</si>
  <si>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</si>
  <si>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</si>
  <si>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</si>
  <si>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</si>
  <si>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</si>
  <si>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</si>
  <si>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</si>
  <si>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</si>
  <si>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</si>
  <si>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</si>
  <si>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</si>
  <si>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</si>
  <si>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</si>
  <si>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</si>
  <si>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</si>
  <si>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</si>
  <si>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</si>
  <si>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</si>
  <si>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</si>
  <si>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</si>
  <si>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</si>
  <si>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</si>
  <si>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</si>
  <si>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</si>
  <si>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</si>
  <si>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</si>
  <si>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</si>
  <si>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</si>
  <si>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</si>
  <si>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</si>
  <si>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</si>
  <si>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</si>
  <si>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</si>
  <si>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</si>
  <si>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</si>
  <si>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</si>
  <si>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</si>
  <si>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</si>
  <si>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</si>
  <si>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</si>
  <si>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</si>
  <si>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</si>
  <si>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</si>
  <si>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</si>
  <si>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</si>
  <si>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</si>
  <si>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</si>
  <si>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</si>
  <si>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</si>
  <si>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</si>
  <si>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</si>
  <si>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</si>
  <si>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</si>
  <si>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</si>
  <si>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</si>
  <si>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</si>
  <si>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</si>
  <si>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</si>
  <si>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</si>
  <si>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</si>
  <si>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</si>
  <si>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</si>
  <si>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</si>
  <si>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</si>
  <si>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</si>
  <si>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</si>
  <si>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</si>
  <si>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</si>
  <si>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</si>
  <si>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</si>
  <si>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</si>
  <si>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</si>
  <si>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</si>
  <si>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</si>
  <si>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</si>
  <si>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</si>
  <si>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</si>
  <si>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</si>
  <si>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</si>
  <si>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</si>
  <si>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</si>
  <si>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</si>
  <si>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</si>
  <si>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</si>
  <si>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</si>
  <si>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</si>
  <si>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</si>
  <si>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</si>
  <si>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</si>
  <si>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</si>
  <si>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</si>
  <si>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</si>
  <si>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</si>
  <si>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</si>
  <si>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</si>
  <si>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</si>
  <si>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</si>
  <si>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</si>
  <si>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</si>
  <si>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</si>
  <si>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</si>
  <si>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</si>
  <si>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</si>
  <si>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</si>
  <si>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</si>
  <si>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</si>
  <si>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</si>
  <si>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</si>
  <si>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</si>
  <si>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</si>
  <si>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</si>
  <si>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</si>
  <si>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</si>
  <si>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</si>
  <si>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</si>
  <si>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</si>
  <si>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</si>
  <si>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</si>
  <si>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</si>
  <si>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</si>
  <si>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</si>
  <si>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</si>
  <si>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</si>
  <si>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</si>
  <si>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</si>
  <si>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</si>
  <si>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</si>
  <si>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</si>
  <si>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</si>
  <si>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</si>
  <si>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</si>
  <si>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</si>
  <si>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</si>
  <si>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</si>
  <si>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</si>
  <si>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</si>
  <si>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</si>
  <si>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</si>
  <si>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</si>
  <si>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</si>
  <si>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</si>
  <si>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</si>
  <si>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</si>
  <si>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</si>
  <si>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</si>
  <si>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</si>
  <si>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</si>
  <si>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</si>
  <si>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</si>
  <si>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</si>
  <si>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</si>
  <si>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</si>
  <si>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</si>
  <si>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</si>
  <si>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</si>
  <si>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</si>
  <si>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</si>
  <si>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</si>
  <si>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</si>
  <si>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</si>
  <si>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</si>
  <si>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</si>
  <si>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</si>
  <si>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</si>
  <si>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</si>
  <si>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</si>
  <si>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</si>
  <si>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</si>
  <si>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</si>
  <si>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</si>
  <si>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</si>
  <si>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</si>
  <si>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</si>
  <si>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</si>
  <si>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</si>
  <si>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</si>
  <si>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</si>
  <si>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</si>
  <si>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</si>
  <si>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</si>
  <si>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</si>
  <si>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</si>
  <si>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</si>
  <si>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</si>
  <si>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</si>
  <si>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</si>
  <si>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</si>
  <si>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</si>
  <si>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</si>
  <si>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</si>
  <si>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</si>
  <si>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</si>
  <si>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</si>
  <si>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</si>
  <si>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</si>
  <si>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</si>
  <si>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</si>
  <si>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</si>
  <si>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</si>
  <si>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</si>
  <si>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</si>
  <si>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</si>
  <si>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</si>
  <si>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</si>
  <si>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</si>
  <si>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</si>
  <si>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</si>
  <si>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</si>
  <si>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</si>
  <si>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</si>
  <si>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</si>
  <si>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</si>
  <si>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</si>
  <si>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</si>
  <si>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</si>
  <si>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</si>
  <si>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</si>
  <si>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</si>
  <si>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</si>
  <si>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</si>
  <si>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</si>
  <si>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</si>
  <si>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</si>
  <si>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</si>
  <si>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</si>
  <si>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</si>
  <si>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</si>
  <si>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</si>
  <si>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</si>
  <si>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</si>
  <si>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</si>
  <si>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</si>
  <si>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</si>
  <si>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</si>
  <si>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</si>
  <si>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</si>
  <si>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</si>
  <si>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</si>
  <si>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</si>
  <si>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</si>
  <si>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</si>
  <si>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</si>
  <si>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</si>
  <si>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</si>
  <si>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</si>
  <si>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</si>
  <si>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</si>
  <si>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</si>
  <si>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</si>
  <si>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</si>
  <si>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</si>
  <si>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</si>
  <si>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</si>
  <si>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</si>
  <si>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</si>
  <si>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</si>
  <si>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</si>
  <si>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</si>
  <si>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</si>
  <si>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</si>
  <si>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</si>
  <si>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</si>
  <si>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</si>
  <si>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</si>
  <si>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</si>
  <si>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</si>
  <si>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</si>
  <si>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</si>
  <si>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</si>
  <si>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</si>
  <si>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</si>
  <si>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</si>
  <si>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</si>
  <si>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</si>
  <si>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</si>
  <si>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</si>
  <si>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</si>
  <si>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</si>
  <si>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</si>
  <si>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</si>
  <si>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</si>
  <si>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</si>
  <si>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</si>
  <si>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</si>
  <si>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</si>
  <si>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</si>
  <si>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</si>
  <si>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</si>
  <si>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</si>
  <si>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</si>
  <si>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</si>
  <si>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</si>
  <si>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</si>
  <si>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</si>
  <si>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</si>
  <si>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</si>
  <si>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</si>
  <si>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</si>
  <si>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</si>
  <si>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</si>
  <si>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</si>
  <si>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</si>
  <si>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</si>
  <si>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</si>
  <si>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</si>
  <si>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</si>
  <si>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</si>
  <si>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</si>
  <si>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</si>
  <si>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</si>
  <si>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</si>
  <si>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</si>
  <si>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</si>
  <si>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</si>
  <si>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</si>
  <si>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</si>
  <si>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</si>
  <si>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</si>
  <si>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</si>
  <si>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</si>
  <si>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</si>
  <si>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</si>
  <si>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</si>
  <si>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</si>
  <si>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</si>
  <si>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</si>
  <si>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</si>
  <si>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</si>
  <si>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</si>
  <si>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</si>
  <si>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</si>
  <si>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</si>
  <si>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</si>
  <si>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</si>
  <si>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</si>
  <si>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</si>
  <si>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</si>
  <si>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</si>
  <si>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</si>
  <si>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</si>
  <si>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</si>
  <si>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</si>
  <si>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</si>
  <si>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</si>
  <si>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</si>
  <si>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First National Bank</t>
  </si>
  <si>
    <t>No remedial action required</t>
  </si>
  <si>
    <t>The variance is due to the decision of the DPP withdrawing the municipality's permission to issue traffic fines</t>
  </si>
  <si>
    <t>The municipality is still negotiating with the DPP</t>
  </si>
  <si>
    <t>This will self correct during the year</t>
  </si>
  <si>
    <t xml:space="preserve">Municipality has no control </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</si>
  <si>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</si>
  <si>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</si>
  <si>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</si>
  <si>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</si>
  <si>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</si>
  <si>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No remedial action is required</t>
  </si>
  <si>
    <t>Total capital expenditure</t>
  </si>
  <si>
    <t>Various reasons have been put forward, from SCM processes to delays in approvals</t>
  </si>
  <si>
    <t>Received more revenue than projected</t>
  </si>
  <si>
    <t>Other Expenditure is dependent on external events which are beyond the control of the municipality</t>
  </si>
  <si>
    <t>MUNICIPAL DISASTER RELIEF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</si>
</sst>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2"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74">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3" xfId="0" applyFont="1" applyBorder="1" applyAlignment="1" applyProtection="1">
      <alignment horizontal="left" vertical="top" wrapText="1"/>
    </xf>
    <xf numFmtId="0" fontId="5" fillId="32" borderId="84"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3" xfId="0" applyFont="1" applyBorder="1" applyAlignment="1" applyProtection="1">
      <alignment horizontal="justify" wrapText="1"/>
    </xf>
    <xf numFmtId="0" fontId="16" fillId="0" borderId="84"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6" fillId="32" borderId="0" xfId="0" applyFont="1" applyFill="1" applyAlignment="1" applyProtection="1">
      <protection locked="0"/>
    </xf>
    <xf numFmtId="172" fontId="6" fillId="32" borderId="37" xfId="0" applyNumberFormat="1" applyFont="1" applyFill="1" applyBorder="1" applyAlignment="1" applyProtection="1">
      <alignment horizontal="center"/>
      <protection locked="0"/>
    </xf>
    <xf numFmtId="9" fontId="6" fillId="32" borderId="10" xfId="0" applyNumberFormat="1" applyFont="1" applyFill="1" applyBorder="1" applyProtection="1">
      <protection locked="0"/>
    </xf>
    <xf numFmtId="0" fontId="6" fillId="32" borderId="10" xfId="0" applyFont="1" applyFill="1" applyBorder="1" applyAlignment="1" applyProtection="1">
      <alignment wrapText="1"/>
      <protection locked="0"/>
    </xf>
    <xf numFmtId="172" fontId="7" fillId="0" borderId="30" xfId="0" applyNumberFormat="1" applyFont="1" applyBorder="1" applyProtection="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0" fontId="5" fillId="0" borderId="88" xfId="0" applyFont="1" applyBorder="1" applyAlignment="1" applyProtection="1">
      <alignment horizontal="justify" wrapText="1"/>
    </xf>
    <xf numFmtId="0" fontId="5" fillId="0" borderId="89"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0" fontId="16" fillId="0" borderId="89" xfId="0" applyFont="1" applyBorder="1" applyAlignment="1">
      <alignment horizontal="justify" wrapText="1"/>
    </xf>
    <xf numFmtId="0" fontId="16" fillId="0" borderId="18" xfId="0" applyFont="1" applyBorder="1" applyAlignment="1">
      <alignment horizontal="justify" wrapText="1"/>
    </xf>
    <xf numFmtId="0" fontId="42" fillId="0" borderId="85" xfId="0" applyFont="1" applyBorder="1" applyAlignment="1" applyProtection="1">
      <alignment horizontal="justify" vertical="center" wrapText="1"/>
    </xf>
    <xf numFmtId="0" fontId="42" fillId="0" borderId="86" xfId="0" applyFont="1" applyBorder="1" applyAlignment="1" applyProtection="1">
      <alignment horizontal="justify" vertical="center" wrapText="1"/>
    </xf>
    <xf numFmtId="0" fontId="5" fillId="0" borderId="85" xfId="0" applyFont="1" applyBorder="1" applyAlignment="1" applyProtection="1">
      <alignment horizontal="justify" vertical="center" wrapText="1"/>
    </xf>
    <xf numFmtId="0" fontId="5" fillId="0" borderId="86" xfId="0" applyFont="1" applyBorder="1" applyAlignment="1" applyProtection="1">
      <alignment horizontal="justify" vertical="center"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7" xfId="0" applyFont="1" applyBorder="1" applyAlignment="1" applyProtection="1">
      <alignment horizontal="justify" vertical="center" wrapText="1"/>
    </xf>
    <xf numFmtId="0" fontId="43" fillId="0" borderId="87" xfId="0" applyFont="1" applyBorder="1" applyAlignment="1">
      <alignment horizontal="justify" vertical="center" wrapText="1"/>
    </xf>
    <xf numFmtId="0" fontId="42" fillId="0" borderId="85" xfId="0" applyFont="1" applyBorder="1" applyAlignment="1" applyProtection="1">
      <alignment horizontal="justify" vertical="center"/>
    </xf>
    <xf numFmtId="0" fontId="16" fillId="0" borderId="86" xfId="0" applyFont="1" applyBorder="1" applyAlignment="1">
      <alignment horizontal="justify" vertical="center"/>
    </xf>
    <xf numFmtId="0" fontId="16" fillId="0" borderId="86" xfId="0" applyFont="1" applyBorder="1" applyAlignment="1">
      <alignment horizontal="justify" vertical="center"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0"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_AppA_Muncde_2010"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Percent 10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704600774.9000001</c:v>
                </c:pt>
                <c:pt idx="1">
                  <c:v>-4325301.0500000007</c:v>
                </c:pt>
                <c:pt idx="2">
                  <c:v>117682805.63</c:v>
                </c:pt>
                <c:pt idx="3">
                  <c:v>101021025.72999999</c:v>
                </c:pt>
                <c:pt idx="4">
                  <c:v>97617113.170000002</c:v>
                </c:pt>
                <c:pt idx="5">
                  <c:v>89416119.01000002</c:v>
                </c:pt>
                <c:pt idx="6">
                  <c:v>534223289.34000009</c:v>
                </c:pt>
                <c:pt idx="7">
                  <c:v>2831952593.4300003</c:v>
                </c:pt>
              </c:numCache>
            </c:numRef>
          </c:val>
          <c:extLst>
            <c:ext xmlns:c16="http://schemas.microsoft.com/office/drawing/2014/chart" uri="{C3380CC4-5D6E-409C-BE32-E72D297353CC}">
              <c16:uniqueId val="{00000000-AB1B-432A-B862-C40D1AE4ED23}"/>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AB1B-432A-B862-C40D1AE4ED23}"/>
            </c:ext>
          </c:extLst>
        </c:ser>
        <c:dLbls>
          <c:showLegendKey val="0"/>
          <c:showVal val="0"/>
          <c:showCatName val="0"/>
          <c:showSerName val="0"/>
          <c:showPercent val="0"/>
          <c:showBubbleSize val="0"/>
        </c:dLbls>
        <c:gapWidth val="150"/>
        <c:shape val="box"/>
        <c:axId val="256363048"/>
        <c:axId val="256363440"/>
        <c:axId val="0"/>
      </c:bar3DChart>
      <c:catAx>
        <c:axId val="256363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56363440"/>
        <c:crosses val="autoZero"/>
        <c:auto val="1"/>
        <c:lblAlgn val="ctr"/>
        <c:lblOffset val="100"/>
        <c:tickLblSkip val="1"/>
        <c:tickMarkSkip val="1"/>
        <c:noMultiLvlLbl val="0"/>
      </c:catAx>
      <c:valAx>
        <c:axId val="256363440"/>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56363048"/>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661227995.12530005</c:v>
                </c:pt>
                <c:pt idx="1">
                  <c:v>201154939.71469998</c:v>
                </c:pt>
                <c:pt idx="2">
                  <c:v>3191020690.1101999</c:v>
                </c:pt>
                <c:pt idx="3">
                  <c:v>284619142.60500002</c:v>
                </c:pt>
              </c:numCache>
            </c:numRef>
          </c:val>
          <c:extLst>
            <c:ext xmlns:c16="http://schemas.microsoft.com/office/drawing/2014/chart" uri="{C3380CC4-5D6E-409C-BE32-E72D297353CC}">
              <c16:uniqueId val="{00000000-7990-4D56-9495-BDDB00776BB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681678345.49000001</c:v>
                </c:pt>
                <c:pt idx="1">
                  <c:v>207376226.50999999</c:v>
                </c:pt>
                <c:pt idx="2">
                  <c:v>3289712051.6599998</c:v>
                </c:pt>
                <c:pt idx="3">
                  <c:v>293421796.5</c:v>
                </c:pt>
              </c:numCache>
            </c:numRef>
          </c:val>
          <c:extLst>
            <c:ext xmlns:c16="http://schemas.microsoft.com/office/drawing/2014/chart" uri="{C3380CC4-5D6E-409C-BE32-E72D297353CC}">
              <c16:uniqueId val="{00000001-7990-4D56-9495-BDDB00776BB0}"/>
            </c:ext>
          </c:extLst>
        </c:ser>
        <c:dLbls>
          <c:showLegendKey val="0"/>
          <c:showVal val="0"/>
          <c:showCatName val="0"/>
          <c:showSerName val="0"/>
          <c:showPercent val="0"/>
          <c:showBubbleSize val="0"/>
        </c:dLbls>
        <c:gapWidth val="150"/>
        <c:shape val="box"/>
        <c:axId val="592324160"/>
        <c:axId val="592324552"/>
        <c:axId val="0"/>
      </c:bar3DChart>
      <c:catAx>
        <c:axId val="5923241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2324552"/>
        <c:crosses val="autoZero"/>
        <c:auto val="1"/>
        <c:lblAlgn val="ctr"/>
        <c:lblOffset val="100"/>
        <c:tickLblSkip val="1"/>
        <c:tickMarkSkip val="1"/>
        <c:noMultiLvlLbl val="0"/>
      </c:catAx>
      <c:valAx>
        <c:axId val="5923245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2324160"/>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209470837</c:v>
                </c:pt>
                <c:pt idx="1">
                  <c:v>77149902</c:v>
                </c:pt>
                <c:pt idx="2">
                  <c:v>0</c:v>
                </c:pt>
                <c:pt idx="3">
                  <c:v>145670375</c:v>
                </c:pt>
                <c:pt idx="4">
                  <c:v>0</c:v>
                </c:pt>
                <c:pt idx="5">
                  <c:v>0</c:v>
                </c:pt>
                <c:pt idx="6">
                  <c:v>201489432</c:v>
                </c:pt>
                <c:pt idx="7">
                  <c:v>0</c:v>
                </c:pt>
                <c:pt idx="8">
                  <c:v>356936386</c:v>
                </c:pt>
              </c:numCache>
            </c:numRef>
          </c:val>
          <c:extLst>
            <c:ext xmlns:c16="http://schemas.microsoft.com/office/drawing/2014/chart" uri="{C3380CC4-5D6E-409C-BE32-E72D297353CC}">
              <c16:uniqueId val="{00000000-6265-4317-AB60-2DA70E5D288B}"/>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383516062.98000002</c:v>
                </c:pt>
                <c:pt idx="1">
                  <c:v>199793607.49000001</c:v>
                </c:pt>
                <c:pt idx="2">
                  <c:v>0</c:v>
                </c:pt>
                <c:pt idx="3">
                  <c:v>177794476.61000001</c:v>
                </c:pt>
                <c:pt idx="4">
                  <c:v>0</c:v>
                </c:pt>
                <c:pt idx="5">
                  <c:v>0</c:v>
                </c:pt>
                <c:pt idx="6">
                  <c:v>139124965.31999999</c:v>
                </c:pt>
                <c:pt idx="7">
                  <c:v>444019.49</c:v>
                </c:pt>
                <c:pt idx="8">
                  <c:v>488555913.69</c:v>
                </c:pt>
              </c:numCache>
            </c:numRef>
          </c:val>
          <c:extLst>
            <c:ext xmlns:c16="http://schemas.microsoft.com/office/drawing/2014/chart" uri="{C3380CC4-5D6E-409C-BE32-E72D297353CC}">
              <c16:uniqueId val="{00000001-6265-4317-AB60-2DA70E5D288B}"/>
            </c:ext>
          </c:extLst>
        </c:ser>
        <c:dLbls>
          <c:showLegendKey val="0"/>
          <c:showVal val="0"/>
          <c:showCatName val="0"/>
          <c:showSerName val="0"/>
          <c:showPercent val="0"/>
          <c:showBubbleSize val="0"/>
        </c:dLbls>
        <c:gapWidth val="150"/>
        <c:shape val="box"/>
        <c:axId val="592325728"/>
        <c:axId val="592326120"/>
        <c:axId val="0"/>
      </c:bar3DChart>
      <c:catAx>
        <c:axId val="592325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6120"/>
        <c:crosses val="autoZero"/>
        <c:auto val="1"/>
        <c:lblAlgn val="ctr"/>
        <c:lblOffset val="100"/>
        <c:tickLblSkip val="2"/>
        <c:tickMarkSkip val="1"/>
        <c:noMultiLvlLbl val="0"/>
      </c:catAx>
      <c:valAx>
        <c:axId val="592326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572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51123878.416666664</c:v>
                </c:pt>
                <c:pt idx="1">
                  <c:v>51123878.416666664</c:v>
                </c:pt>
                <c:pt idx="2">
                  <c:v>51123878.416666664</c:v>
                </c:pt>
                <c:pt idx="3">
                  <c:v>51123878.416666664</c:v>
                </c:pt>
                <c:pt idx="4">
                  <c:v>51123878.416666664</c:v>
                </c:pt>
                <c:pt idx="5">
                  <c:v>51123878.416666664</c:v>
                </c:pt>
                <c:pt idx="6">
                  <c:v>51123878.416666664</c:v>
                </c:pt>
                <c:pt idx="7">
                  <c:v>51123878.416666664</c:v>
                </c:pt>
                <c:pt idx="8">
                  <c:v>51123878.416666664</c:v>
                </c:pt>
                <c:pt idx="9">
                  <c:v>51123878.416666664</c:v>
                </c:pt>
                <c:pt idx="10">
                  <c:v>51123878.416666664</c:v>
                </c:pt>
                <c:pt idx="11">
                  <c:v>51123878.416666664</c:v>
                </c:pt>
              </c:numCache>
            </c:numRef>
          </c:val>
          <c:extLst>
            <c:ext xmlns:c16="http://schemas.microsoft.com/office/drawing/2014/chart" uri="{C3380CC4-5D6E-409C-BE32-E72D297353CC}">
              <c16:uniqueId val="{00000000-5333-4546-93CC-CD09D42603EB}"/>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62228094.725833334</c:v>
                </c:pt>
                <c:pt idx="1">
                  <c:v>62228094.725833334</c:v>
                </c:pt>
                <c:pt idx="2">
                  <c:v>62228094.725833334</c:v>
                </c:pt>
                <c:pt idx="3">
                  <c:v>62228094.725833334</c:v>
                </c:pt>
                <c:pt idx="4">
                  <c:v>62228094.725833334</c:v>
                </c:pt>
                <c:pt idx="5">
                  <c:v>62228094.725833334</c:v>
                </c:pt>
                <c:pt idx="6">
                  <c:v>62228094.725833334</c:v>
                </c:pt>
                <c:pt idx="7">
                  <c:v>62228094.725833334</c:v>
                </c:pt>
                <c:pt idx="8">
                  <c:v>62228094.725833334</c:v>
                </c:pt>
                <c:pt idx="9">
                  <c:v>62228094.725833334</c:v>
                </c:pt>
                <c:pt idx="10">
                  <c:v>62228094.725833334</c:v>
                </c:pt>
                <c:pt idx="11">
                  <c:v>62228094.725833334</c:v>
                </c:pt>
              </c:numCache>
            </c:numRef>
          </c:val>
          <c:extLst>
            <c:ext xmlns:c16="http://schemas.microsoft.com/office/drawing/2014/chart" uri="{C3380CC4-5D6E-409C-BE32-E72D297353CC}">
              <c16:uniqueId val="{00000001-5333-4546-93CC-CD09D42603EB}"/>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5333-4546-93CC-CD09D42603EB}"/>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44817031.049999997</c:v>
                </c:pt>
                <c:pt idx="3">
                  <c:v>34585671.619999997</c:v>
                </c:pt>
                <c:pt idx="4">
                  <c:v>30684238.440000001</c:v>
                </c:pt>
                <c:pt idx="5">
                  <c:v>49297719.75</c:v>
                </c:pt>
                <c:pt idx="6">
                  <c:v>18688136.899999999</c:v>
                </c:pt>
                <c:pt idx="7">
                  <c:v>22481573.649999999</c:v>
                </c:pt>
                <c:pt idx="8">
                  <c:v>23150031.02</c:v>
                </c:pt>
                <c:pt idx="9">
                  <c:v>13115388.32</c:v>
                </c:pt>
                <c:pt idx="10">
                  <c:v>25635023.07</c:v>
                </c:pt>
                <c:pt idx="11">
                  <c:v>132007206.05</c:v>
                </c:pt>
              </c:numCache>
            </c:numRef>
          </c:val>
          <c:extLst>
            <c:ext xmlns:c16="http://schemas.microsoft.com/office/drawing/2014/chart" uri="{C3380CC4-5D6E-409C-BE32-E72D297353CC}">
              <c16:uniqueId val="{00000003-5333-4546-93CC-CD09D42603EB}"/>
            </c:ext>
          </c:extLst>
        </c:ser>
        <c:dLbls>
          <c:showLegendKey val="0"/>
          <c:showVal val="0"/>
          <c:showCatName val="0"/>
          <c:showSerName val="0"/>
          <c:showPercent val="0"/>
          <c:showBubbleSize val="0"/>
        </c:dLbls>
        <c:gapWidth val="150"/>
        <c:shape val="box"/>
        <c:axId val="592327296"/>
        <c:axId val="592327688"/>
        <c:axId val="0"/>
      </c:bar3DChart>
      <c:catAx>
        <c:axId val="59232729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92327688"/>
        <c:crosses val="autoZero"/>
        <c:auto val="1"/>
        <c:lblAlgn val="ctr"/>
        <c:lblOffset val="100"/>
        <c:tickLblSkip val="1"/>
        <c:tickMarkSkip val="1"/>
        <c:noMultiLvlLbl val="0"/>
      </c:catAx>
      <c:valAx>
        <c:axId val="59232768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729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98-422D-88AA-BEE63C19DF46}"/>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6198-422D-88AA-BEE63C19DF46}"/>
            </c:ext>
          </c:extLst>
        </c:ser>
        <c:dLbls>
          <c:showLegendKey val="0"/>
          <c:showVal val="0"/>
          <c:showCatName val="0"/>
          <c:showSerName val="0"/>
          <c:showPercent val="0"/>
          <c:showBubbleSize val="0"/>
        </c:dLbls>
        <c:gapWidth val="150"/>
        <c:shape val="box"/>
        <c:axId val="592328864"/>
        <c:axId val="592329256"/>
        <c:axId val="0"/>
      </c:bar3DChart>
      <c:catAx>
        <c:axId val="59232886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92329256"/>
        <c:crosses val="autoZero"/>
        <c:auto val="1"/>
        <c:lblAlgn val="ctr"/>
        <c:lblOffset val="100"/>
        <c:tickLblSkip val="1"/>
        <c:tickMarkSkip val="1"/>
        <c:noMultiLvlLbl val="0"/>
      </c:catAx>
      <c:valAx>
        <c:axId val="59232925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232886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6" val="1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246595" name="Group 28"/>
        <xdr:cNvGrpSpPr>
          <a:grpSpLocks/>
        </xdr:cNvGrpSpPr>
      </xdr:nvGrpSpPr>
      <xdr:grpSpPr bwMode="auto">
        <a:xfrm>
          <a:off x="0" y="0"/>
          <a:ext cx="8601075" cy="6400800"/>
          <a:chOff x="0" y="0"/>
          <a:chExt cx="903" cy="672"/>
        </a:xfrm>
      </xdr:grpSpPr>
      <xdr:grpSp>
        <xdr:nvGrpSpPr>
          <xdr:cNvPr id="2246597" name="Group 1"/>
          <xdr:cNvGrpSpPr>
            <a:grpSpLocks/>
          </xdr:cNvGrpSpPr>
        </xdr:nvGrpSpPr>
        <xdr:grpSpPr bwMode="auto">
          <a:xfrm>
            <a:off x="0" y="0"/>
            <a:ext cx="903" cy="672"/>
            <a:chOff x="0" y="0"/>
            <a:chExt cx="791" cy="672"/>
          </a:xfrm>
        </xdr:grpSpPr>
        <xdr:grpSp>
          <xdr:nvGrpSpPr>
            <xdr:cNvPr id="2246599" name="Group 2"/>
            <xdr:cNvGrpSpPr>
              <a:grpSpLocks/>
            </xdr:cNvGrpSpPr>
          </xdr:nvGrpSpPr>
          <xdr:grpSpPr bwMode="auto">
            <a:xfrm>
              <a:off x="0" y="0"/>
              <a:ext cx="791" cy="672"/>
              <a:chOff x="12" y="17"/>
              <a:chExt cx="791" cy="672"/>
            </a:xfrm>
          </xdr:grpSpPr>
          <xdr:pic>
            <xdr:nvPicPr>
              <xdr:cNvPr id="224660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3" name="Group 5"/>
              <xdr:cNvGrpSpPr>
                <a:grpSpLocks/>
              </xdr:cNvGrpSpPr>
            </xdr:nvGrpSpPr>
            <xdr:grpSpPr bwMode="auto">
              <a:xfrm>
                <a:off x="416" y="255"/>
                <a:ext cx="367" cy="413"/>
                <a:chOff x="416" y="255"/>
                <a:chExt cx="367" cy="413"/>
              </a:xfrm>
            </xdr:grpSpPr>
            <xdr:pic>
              <xdr:nvPicPr>
                <xdr:cNvPr id="2246608"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246609" name="Group 7"/>
                <xdr:cNvGrpSpPr>
                  <a:grpSpLocks/>
                </xdr:cNvGrpSpPr>
              </xdr:nvGrpSpPr>
              <xdr:grpSpPr bwMode="auto">
                <a:xfrm>
                  <a:off x="432" y="264"/>
                  <a:ext cx="286" cy="128"/>
                  <a:chOff x="426" y="263"/>
                  <a:chExt cx="290" cy="130"/>
                </a:xfrm>
              </xdr:grpSpPr>
              <xdr:pic>
                <xdr:nvPicPr>
                  <xdr:cNvPr id="2246611"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246612"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246604" name="Group 11"/>
              <xdr:cNvGrpSpPr>
                <a:grpSpLocks/>
              </xdr:cNvGrpSpPr>
            </xdr:nvGrpSpPr>
            <xdr:grpSpPr bwMode="auto">
              <a:xfrm>
                <a:off x="76" y="364"/>
                <a:ext cx="289" cy="256"/>
                <a:chOff x="76" y="364"/>
                <a:chExt cx="289" cy="256"/>
              </a:xfrm>
            </xdr:grpSpPr>
            <xdr:pic>
              <xdr:nvPicPr>
                <xdr:cNvPr id="2246605"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6"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46607"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246600"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42947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242947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429488" name="TextBox2"/>
            <xdr:cNvPicPr preferRelativeResize="0">
              <a:picLocks noChangeArrowheads="1" noChangeShapeType="1"/>
              <a:extLst>
                <a:ext uri="{84589F7E-364E-4C9E-8A38-B11213B215E9}">
                  <a14:cameraTool cellRange="FinYear" spid="_x0000_s2429697"/>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2429493"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16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29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292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2928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2928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292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sqref="A1:K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8" t="str">
        <f>muni&amp; " - "&amp;S71C&amp; " - "&amp;date</f>
        <v>KZN225 Msunduzi - Table C3 Consolidated Monthly Budget Statement - Financial Performance (revenue and expenditure by municipal vote)  - Q4 Fourth Quarter</v>
      </c>
      <c r="B1" s="1028"/>
      <c r="C1" s="1028"/>
      <c r="D1" s="1028"/>
      <c r="E1" s="1028"/>
      <c r="F1" s="1028"/>
      <c r="G1" s="1028"/>
      <c r="H1" s="1028"/>
      <c r="I1" s="1028"/>
      <c r="J1" s="1028"/>
      <c r="K1" s="1028"/>
    </row>
    <row r="2" spans="1:24" x14ac:dyDescent="0.25">
      <c r="A2" s="20" t="str">
        <f>Vdesc</f>
        <v>Vote Description</v>
      </c>
      <c r="B2" s="1019" t="str">
        <f>head27</f>
        <v>Ref</v>
      </c>
      <c r="C2" s="142" t="str">
        <f>Head1</f>
        <v>2018/19</v>
      </c>
      <c r="D2" s="1021" t="str">
        <f>Head2</f>
        <v>Budget Year 2019/20</v>
      </c>
      <c r="E2" s="1022"/>
      <c r="F2" s="1022"/>
      <c r="G2" s="1022"/>
      <c r="H2" s="1022"/>
      <c r="I2" s="1022"/>
      <c r="J2" s="1022"/>
      <c r="K2" s="1023"/>
    </row>
    <row r="3" spans="1:24" ht="25.5" x14ac:dyDescent="0.25">
      <c r="A3" s="168"/>
      <c r="B3" s="1030"/>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1"/>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10.940000000003492</v>
      </c>
      <c r="G6" s="44">
        <f>'C3C'!G6</f>
        <v>10.940000000003492</v>
      </c>
      <c r="H6" s="44">
        <f>'C3C'!H6</f>
        <v>56966.520000000004</v>
      </c>
      <c r="I6" s="44">
        <f>G6-H6</f>
        <v>-56955.58</v>
      </c>
      <c r="J6" s="716">
        <f>IF(I6=0,"",I6/H6)</f>
        <v>-0.99980795737566552</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1777245066.1861629</v>
      </c>
      <c r="E7" s="44">
        <f>'C3C'!E17</f>
        <v>1777349684.1599998</v>
      </c>
      <c r="F7" s="44">
        <f>'C3C'!F17</f>
        <v>111199311.3</v>
      </c>
      <c r="G7" s="44">
        <f>'C3C'!G17</f>
        <v>1646952475.52</v>
      </c>
      <c r="H7" s="44">
        <f>'C3C'!H17</f>
        <v>1777349684.1599998</v>
      </c>
      <c r="I7" s="44">
        <f t="shared" ref="I7:I20" si="0">G7-H7</f>
        <v>-130397208.63999987</v>
      </c>
      <c r="J7" s="716">
        <f t="shared" ref="J7:J21" si="1">IF(I7=0,"",I7/H7)</f>
        <v>-7.3366096611217735E-2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42524011.5</v>
      </c>
      <c r="G8" s="44">
        <f>'C3C'!G28</f>
        <v>200140004.53</v>
      </c>
      <c r="H8" s="44">
        <f>'C3C'!H28</f>
        <v>220172669.46999997</v>
      </c>
      <c r="I8" s="44">
        <f t="shared" si="0"/>
        <v>-20032664.939999968</v>
      </c>
      <c r="J8" s="716">
        <f t="shared" si="1"/>
        <v>-9.098615640271171E-2</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1277581.3999999999</v>
      </c>
      <c r="G9" s="44">
        <f>'C3C'!G39</f>
        <v>7630814.4500000002</v>
      </c>
      <c r="H9" s="44">
        <f>'C3C'!H39</f>
        <v>6541799.7000000002</v>
      </c>
      <c r="I9" s="44">
        <f t="shared" si="0"/>
        <v>1089014.75</v>
      </c>
      <c r="J9" s="716">
        <f t="shared" si="1"/>
        <v>0.16647020696766365</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255814614.51999998</v>
      </c>
      <c r="G10" s="44">
        <f>'C3C'!G50</f>
        <v>3852473687.5399995</v>
      </c>
      <c r="H10" s="44">
        <f>'C3C'!H50</f>
        <v>4183693281.4699993</v>
      </c>
      <c r="I10" s="44">
        <f t="shared" si="0"/>
        <v>-331219593.92999983</v>
      </c>
      <c r="J10" s="716">
        <f t="shared" si="1"/>
        <v>-7.9169186564656852E-2</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414781372.18000001</v>
      </c>
      <c r="F11" s="44">
        <f>'C3C'!F61</f>
        <v>34611831.520000003</v>
      </c>
      <c r="G11" s="44">
        <f>'C3C'!G61</f>
        <v>156335626.42000002</v>
      </c>
      <c r="H11" s="44">
        <f>'C3C'!H61</f>
        <v>414781372.18000001</v>
      </c>
      <c r="I11" s="44">
        <f t="shared" si="0"/>
        <v>-258445745.75999999</v>
      </c>
      <c r="J11" s="716">
        <f t="shared" si="1"/>
        <v>-0.62308908522498441</v>
      </c>
      <c r="K11" s="144">
        <f>'C3C'!K61</f>
        <v>414781372.18000001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6351937471.4078617</v>
      </c>
      <c r="E21" s="73">
        <f t="shared" si="2"/>
        <v>6602595773.5</v>
      </c>
      <c r="F21" s="73">
        <f t="shared" si="2"/>
        <v>445427361.17999995</v>
      </c>
      <c r="G21" s="73">
        <f t="shared" si="2"/>
        <v>5863532619.3999996</v>
      </c>
      <c r="H21" s="73">
        <f t="shared" si="2"/>
        <v>6602595773.5</v>
      </c>
      <c r="I21" s="73">
        <f t="shared" si="2"/>
        <v>-739063154.09999967</v>
      </c>
      <c r="J21" s="717">
        <f t="shared" si="1"/>
        <v>-0.11193524175238526</v>
      </c>
      <c r="K21" s="145">
        <f>SUM(K6:K20)</f>
        <v>6602595773.5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18942145.549999997</v>
      </c>
      <c r="G24" s="44">
        <f>'C3C'!G174</f>
        <v>156399533.59000003</v>
      </c>
      <c r="H24" s="44">
        <f>'C3C'!H174</f>
        <v>175505612.53</v>
      </c>
      <c r="I24" s="44">
        <f t="shared" ref="I24:I38" si="3">G24-H24</f>
        <v>-19106078.939999968</v>
      </c>
      <c r="J24" s="716">
        <f t="shared" ref="J24:J29" si="4">IF(I24=0,"",I24/H24)</f>
        <v>-0.10886306520102926</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-7749155.9699999951</v>
      </c>
      <c r="G25" s="44">
        <f>'C3C'!G185</f>
        <v>319755558.62</v>
      </c>
      <c r="H25" s="44">
        <f>'C3C'!H185</f>
        <v>670955506.27000034</v>
      </c>
      <c r="I25" s="44">
        <f t="shared" si="3"/>
        <v>-351199947.65000033</v>
      </c>
      <c r="J25" s="716">
        <f t="shared" si="4"/>
        <v>-0.52343254413754425</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62567024.930000015</v>
      </c>
      <c r="G26" s="44">
        <f>'C3C'!G196</f>
        <v>735272780.83999968</v>
      </c>
      <c r="H26" s="44">
        <f>'C3C'!H196</f>
        <v>707784448.3599999</v>
      </c>
      <c r="I26" s="44">
        <f t="shared" si="3"/>
        <v>27488332.479999781</v>
      </c>
      <c r="J26" s="716">
        <f t="shared" si="4"/>
        <v>3.8837152389675576E-2</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11256491.650000002</v>
      </c>
      <c r="G27" s="44">
        <f>'C3C'!G207</f>
        <v>151988280.04000002</v>
      </c>
      <c r="H27" s="44">
        <f>'C3C'!H207</f>
        <v>293123230.66999984</v>
      </c>
      <c r="I27" s="44">
        <f t="shared" si="3"/>
        <v>-141134950.62999982</v>
      </c>
      <c r="J27" s="716">
        <f t="shared" si="4"/>
        <v>-0.48148674640151778</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248778227.52999997</v>
      </c>
      <c r="G28" s="44">
        <f>'C3C'!G218</f>
        <v>3457956215.9399972</v>
      </c>
      <c r="H28" s="44">
        <f>'C3C'!H218</f>
        <v>3395533322.0000019</v>
      </c>
      <c r="I28" s="44">
        <f t="shared" si="3"/>
        <v>62422893.939995289</v>
      </c>
      <c r="J28" s="716">
        <f t="shared" si="4"/>
        <v>1.8383826050403063E-2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283275916.34000081</v>
      </c>
      <c r="E29" s="44">
        <f>'C3C'!E229</f>
        <v>297162690.43000007</v>
      </c>
      <c r="F29" s="44">
        <f>'C3C'!F229</f>
        <v>27841940.849999908</v>
      </c>
      <c r="G29" s="44">
        <f>'C3C'!G229</f>
        <v>227218932.5200012</v>
      </c>
      <c r="H29" s="44">
        <f>'C3C'!H229</f>
        <v>297162690.43000007</v>
      </c>
      <c r="I29" s="44">
        <f t="shared" si="3"/>
        <v>-69943757.909998864</v>
      </c>
      <c r="J29" s="716">
        <f t="shared" si="4"/>
        <v>-0.23537193652671845</v>
      </c>
      <c r="K29" s="144">
        <f>'C3C'!K229</f>
        <v>297162690.43000007</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5636479723.2493496</v>
      </c>
      <c r="E39" s="430">
        <f t="shared" si="6"/>
        <v>5540064810.2600021</v>
      </c>
      <c r="F39" s="430">
        <f t="shared" si="6"/>
        <v>361636674.5399999</v>
      </c>
      <c r="G39" s="430">
        <f t="shared" si="6"/>
        <v>5048591301.5499983</v>
      </c>
      <c r="H39" s="430">
        <f t="shared" si="6"/>
        <v>5540064810.2600021</v>
      </c>
      <c r="I39" s="430">
        <f t="shared" si="6"/>
        <v>-491473508.71000385</v>
      </c>
      <c r="J39" s="719">
        <f>IF(I39=0,"",I39/H39)</f>
        <v>-8.8712591917663577E-2</v>
      </c>
      <c r="K39" s="513">
        <f>SUM(K24:K38)</f>
        <v>5540064810.2600021</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715457748.15851212</v>
      </c>
      <c r="E40" s="55">
        <f t="shared" si="7"/>
        <v>1062530963.2399979</v>
      </c>
      <c r="F40" s="55">
        <f t="shared" si="7"/>
        <v>83790686.640000045</v>
      </c>
      <c r="G40" s="55">
        <f t="shared" si="7"/>
        <v>814941317.85000134</v>
      </c>
      <c r="H40" s="55">
        <f t="shared" si="7"/>
        <v>1062530963.2399979</v>
      </c>
      <c r="I40" s="55">
        <f>I21-I39</f>
        <v>-247589645.38999581</v>
      </c>
      <c r="J40" s="720">
        <f>IF(I40=0,"",I40/H40)</f>
        <v>-0.23301875799931093</v>
      </c>
      <c r="K40" s="235">
        <f>K21-K39</f>
        <v>1062530963.2399979</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199" activePane="bottomRight" state="frozen"/>
      <selection pane="topRight"/>
      <selection pane="bottomLeft"/>
      <selection pane="bottomRight" activeCell="F230" sqref="F230:G230"/>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Consolidated Monthly Budget Statement - Financial Performance (revenue and expenditure by municipal vote)  - A - Q4 Fourth Quarter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10.940000000003492</v>
      </c>
      <c r="G6" s="441">
        <f t="shared" si="0"/>
        <v>10.940000000003492</v>
      </c>
      <c r="H6" s="443">
        <f t="shared" si="0"/>
        <v>56966.520000000004</v>
      </c>
      <c r="I6" s="44">
        <f t="shared" ref="I6:I69" si="1">G6-H6</f>
        <v>-56955.58</v>
      </c>
      <c r="J6" s="330">
        <f t="shared" ref="J6:J69" si="2">IF(I6=0,"",I6/H6)</f>
        <v>-0.99980795737566552</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v>-0.1</v>
      </c>
      <c r="G7" s="742">
        <v>-0.1</v>
      </c>
      <c r="H7" s="743"/>
      <c r="I7" s="44">
        <f t="shared" si="1"/>
        <v>-0.1</v>
      </c>
      <c r="J7" s="330" t="e">
        <f t="shared" si="2"/>
        <v>#DIV/0!</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v>129038.97</v>
      </c>
      <c r="G8" s="742">
        <v>129038.97</v>
      </c>
      <c r="H8" s="743">
        <f>E8/12*12</f>
        <v>56966.520000000004</v>
      </c>
      <c r="I8" s="44">
        <f t="shared" si="1"/>
        <v>72072.45</v>
      </c>
      <c r="J8" s="330">
        <f t="shared" si="2"/>
        <v>1.2651720694892368</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v>-129027.70999999999</v>
      </c>
      <c r="G9" s="742">
        <v>-129027.70999999999</v>
      </c>
      <c r="H9" s="743"/>
      <c r="I9" s="44">
        <f t="shared" si="1"/>
        <v>-129027.70999999999</v>
      </c>
      <c r="J9" s="330" t="e">
        <f t="shared" si="2"/>
        <v>#DIV/0!</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v>-0.22</v>
      </c>
      <c r="G10" s="742">
        <v>-0.22</v>
      </c>
      <c r="H10" s="743"/>
      <c r="I10" s="44">
        <f t="shared" si="1"/>
        <v>-0.22</v>
      </c>
      <c r="J10" s="330" t="e">
        <f t="shared" si="2"/>
        <v>#DIV/0!</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1777245066.1861629</v>
      </c>
      <c r="E17" s="441">
        <f t="shared" si="3"/>
        <v>1777349684.1599998</v>
      </c>
      <c r="F17" s="443">
        <f t="shared" si="3"/>
        <v>111199311.3</v>
      </c>
      <c r="G17" s="441">
        <f t="shared" si="3"/>
        <v>1646952475.52</v>
      </c>
      <c r="H17" s="443">
        <f t="shared" si="3"/>
        <v>1777349684.1599998</v>
      </c>
      <c r="I17" s="44">
        <f t="shared" si="1"/>
        <v>-130397208.63999987</v>
      </c>
      <c r="J17" s="330">
        <f t="shared" si="2"/>
        <v>-7.3366096611217735E-2</v>
      </c>
      <c r="K17" s="442">
        <f t="shared" si="3"/>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9080667.8099999968</v>
      </c>
      <c r="G18" s="742">
        <v>40428479.299999982</v>
      </c>
      <c r="H18" s="743">
        <f>E18/12*12</f>
        <v>4603300.160000002</v>
      </c>
      <c r="I18" s="44">
        <f t="shared" si="1"/>
        <v>35825179.139999978</v>
      </c>
      <c r="J18" s="330">
        <f t="shared" si="2"/>
        <v>7.7824990538961432</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308311384.0461629</v>
      </c>
      <c r="E19" s="742">
        <v>308311384.05000001</v>
      </c>
      <c r="F19" s="743">
        <v>1352417.8199999996</v>
      </c>
      <c r="G19" s="742">
        <v>314438455.58999997</v>
      </c>
      <c r="H19" s="743">
        <f>E19/12*12</f>
        <v>308311384.05000001</v>
      </c>
      <c r="I19" s="44">
        <f t="shared" si="1"/>
        <v>6127071.5399999619</v>
      </c>
      <c r="J19" s="330">
        <f t="shared" si="2"/>
        <v>1.9872998069400873E-2</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v>-8.69</v>
      </c>
      <c r="G20" s="742">
        <v>-8.69</v>
      </c>
      <c r="H20" s="743">
        <f>E20/12*12</f>
        <v>320895.92000000004</v>
      </c>
      <c r="I20" s="44">
        <f t="shared" si="1"/>
        <v>-320904.61000000004</v>
      </c>
      <c r="J20" s="330">
        <f t="shared" si="2"/>
        <v>-1.0000270804315616</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100761605.98</v>
      </c>
      <c r="G21" s="742">
        <v>1292005834.98</v>
      </c>
      <c r="H21" s="743">
        <f>E21/12*12</f>
        <v>1463845922.9699998</v>
      </c>
      <c r="I21" s="44">
        <f t="shared" si="1"/>
        <v>-171840087.98999977</v>
      </c>
      <c r="J21" s="330">
        <f t="shared" si="2"/>
        <v>-0.11738946380460116</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4628.38</v>
      </c>
      <c r="G22" s="742">
        <v>79714.340000000011</v>
      </c>
      <c r="H22" s="743">
        <f>E22/12*12</f>
        <v>268181.06000000006</v>
      </c>
      <c r="I22" s="44">
        <f t="shared" si="1"/>
        <v>-188466.72000000003</v>
      </c>
      <c r="J22" s="330">
        <f t="shared" si="2"/>
        <v>-0.70275924780072085</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4">SUM(C29:C38)</f>
        <v>236959425</v>
      </c>
      <c r="D28" s="444">
        <f t="shared" si="4"/>
        <v>210736724.57832819</v>
      </c>
      <c r="E28" s="441">
        <f t="shared" si="4"/>
        <v>220172669.46999997</v>
      </c>
      <c r="F28" s="443">
        <f t="shared" si="4"/>
        <v>42524011.5</v>
      </c>
      <c r="G28" s="441">
        <f t="shared" si="4"/>
        <v>200140004.53</v>
      </c>
      <c r="H28" s="443">
        <f t="shared" si="4"/>
        <v>220172669.46999997</v>
      </c>
      <c r="I28" s="44">
        <f t="shared" si="1"/>
        <v>-20032664.939999968</v>
      </c>
      <c r="J28" s="330">
        <f t="shared" si="2"/>
        <v>-9.098615640271171E-2</v>
      </c>
      <c r="K28" s="442">
        <f t="shared" si="4"/>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-887.16</v>
      </c>
      <c r="G29" s="742">
        <v>789659.40000000014</v>
      </c>
      <c r="H29" s="742">
        <f>E29/12*12</f>
        <v>972327.40000000014</v>
      </c>
      <c r="I29" s="258">
        <f t="shared" si="1"/>
        <v>-182668</v>
      </c>
      <c r="J29" s="330">
        <f t="shared" si="2"/>
        <v>-0.18786676175123726</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4390532.8400000008</v>
      </c>
      <c r="G30" s="742">
        <v>15420937.440000001</v>
      </c>
      <c r="H30" s="743">
        <f>E30/12*12</f>
        <v>3606445.42</v>
      </c>
      <c r="I30" s="44">
        <f t="shared" si="1"/>
        <v>11814492.020000001</v>
      </c>
      <c r="J30" s="330">
        <f t="shared" si="2"/>
        <v>3.2759381174830038</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27826585.520000003</v>
      </c>
      <c r="G31" s="742">
        <v>42912475.300000004</v>
      </c>
      <c r="H31" s="743">
        <f>E31/12*12</f>
        <v>44740722.060000002</v>
      </c>
      <c r="I31" s="44">
        <f t="shared" si="1"/>
        <v>-1828246.7599999979</v>
      </c>
      <c r="J31" s="330">
        <f t="shared" si="2"/>
        <v>-4.0863148286883005E-2</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10307780.300000001</v>
      </c>
      <c r="G32" s="742">
        <v>141016932.38999999</v>
      </c>
      <c r="H32" s="743">
        <f>E32/12*12</f>
        <v>170853174.58999997</v>
      </c>
      <c r="I32" s="44">
        <f t="shared" si="1"/>
        <v>-29836242.199999988</v>
      </c>
      <c r="J32" s="330">
        <f t="shared" si="2"/>
        <v>-0.1746308915336145</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5862268</v>
      </c>
      <c r="D39" s="444">
        <f t="shared" si="5"/>
        <v>6541799.7000000002</v>
      </c>
      <c r="E39" s="441">
        <f t="shared" si="5"/>
        <v>6541799.7000000002</v>
      </c>
      <c r="F39" s="443">
        <f t="shared" si="5"/>
        <v>1277581.3999999999</v>
      </c>
      <c r="G39" s="441">
        <f t="shared" si="5"/>
        <v>7630814.4500000002</v>
      </c>
      <c r="H39" s="443">
        <f t="shared" si="5"/>
        <v>6541799.7000000002</v>
      </c>
      <c r="I39" s="44">
        <f t="shared" si="1"/>
        <v>1089014.75</v>
      </c>
      <c r="J39" s="330">
        <f t="shared" si="2"/>
        <v>0.16647020696766365</v>
      </c>
      <c r="K39" s="442">
        <f t="shared" si="5"/>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775067.65</v>
      </c>
      <c r="G40" s="742">
        <v>3430269.9400000004</v>
      </c>
      <c r="H40" s="743">
        <f>E40/12*12</f>
        <v>2093836.0200000003</v>
      </c>
      <c r="I40" s="44">
        <f t="shared" si="1"/>
        <v>1336433.9200000002</v>
      </c>
      <c r="J40" s="330">
        <f t="shared" si="2"/>
        <v>0.63827057478932858</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v>9.19</v>
      </c>
      <c r="G41" s="742">
        <v>426.55000000000007</v>
      </c>
      <c r="H41" s="743">
        <f>E41/12*12</f>
        <v>1929.2000000000003</v>
      </c>
      <c r="I41" s="44">
        <f t="shared" si="1"/>
        <v>-1502.65</v>
      </c>
      <c r="J41" s="330">
        <f t="shared" si="2"/>
        <v>-0.77889798880364913</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v>-5.83</v>
      </c>
      <c r="G42" s="742">
        <v>107.57000000000001</v>
      </c>
      <c r="H42" s="743">
        <f>E42/12*12</f>
        <v>246034.47999999998</v>
      </c>
      <c r="I42" s="44">
        <f t="shared" si="1"/>
        <v>-245926.90999999997</v>
      </c>
      <c r="J42" s="330">
        <f t="shared" si="2"/>
        <v>-0.99956278485844741</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v>13.07</v>
      </c>
      <c r="G43" s="742">
        <v>13.07</v>
      </c>
      <c r="H43" s="743">
        <f>E43/12*12</f>
        <v>4200000</v>
      </c>
      <c r="I43" s="44">
        <f t="shared" si="1"/>
        <v>-4199986.93</v>
      </c>
      <c r="J43" s="330">
        <f t="shared" si="2"/>
        <v>-0.99999688809523801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v>502497.32</v>
      </c>
      <c r="G44" s="742">
        <v>4199997.32</v>
      </c>
      <c r="H44" s="743"/>
      <c r="I44" s="44">
        <f t="shared" si="1"/>
        <v>4199997.32</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6">SUM(D51:D60)</f>
        <v>4173276747.4460802</v>
      </c>
      <c r="E50" s="441">
        <f t="shared" si="6"/>
        <v>4183693281.4699993</v>
      </c>
      <c r="F50" s="443">
        <f t="shared" si="6"/>
        <v>255814614.51999998</v>
      </c>
      <c r="G50" s="441">
        <f t="shared" si="6"/>
        <v>3852473687.5399995</v>
      </c>
      <c r="H50" s="443">
        <f t="shared" si="6"/>
        <v>4183693281.4699993</v>
      </c>
      <c r="I50" s="44">
        <f t="shared" si="1"/>
        <v>-331219593.92999983</v>
      </c>
      <c r="J50" s="330">
        <f t="shared" si="2"/>
        <v>-7.9169186564656852E-2</v>
      </c>
      <c r="K50" s="442">
        <f t="shared" si="6"/>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55610266.93</v>
      </c>
      <c r="G51" s="742">
        <v>2250051828.7099991</v>
      </c>
      <c r="H51" s="743">
        <f>E51/12*12</f>
        <v>2477494235.6999993</v>
      </c>
      <c r="I51" s="44">
        <f t="shared" si="1"/>
        <v>-227442406.99000025</v>
      </c>
      <c r="J51" s="330">
        <f t="shared" si="2"/>
        <v>-9.1803405114982209E-2</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v>1935967.54</v>
      </c>
      <c r="G52" s="742">
        <v>6271983.5299999993</v>
      </c>
      <c r="H52" s="743">
        <f>E52/12*12</f>
        <v>6497718</v>
      </c>
      <c r="I52" s="44">
        <f t="shared" si="1"/>
        <v>-225734.47000000067</v>
      </c>
      <c r="J52" s="330">
        <f t="shared" si="2"/>
        <v>-3.4740576614743925E-2</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61923755.109999999</v>
      </c>
      <c r="G53" s="742">
        <v>245676831.27999997</v>
      </c>
      <c r="H53" s="743">
        <f>E53/12*12</f>
        <v>312970745.12</v>
      </c>
      <c r="I53" s="44">
        <f t="shared" si="1"/>
        <v>-67293913.840000033</v>
      </c>
      <c r="J53" s="330">
        <f t="shared" si="2"/>
        <v>-0.21501662659939041</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136344626.49000001</v>
      </c>
      <c r="G54" s="742">
        <v>1350473045.5700002</v>
      </c>
      <c r="H54" s="743">
        <f>E54/12*12</f>
        <v>1386730582.6500001</v>
      </c>
      <c r="I54" s="44">
        <f t="shared" si="1"/>
        <v>-36257537.079999924</v>
      </c>
      <c r="J54" s="330">
        <f t="shared" si="2"/>
        <v>-2.6146057160369874E-2</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v>-1.55</v>
      </c>
      <c r="G55" s="742">
        <v>-1.55</v>
      </c>
      <c r="H55" s="743"/>
      <c r="I55" s="44">
        <f t="shared" si="1"/>
        <v>-1.55</v>
      </c>
      <c r="J55" s="330" t="e">
        <f t="shared" si="2"/>
        <v>#DIV/0!</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7">SUM(D62:D71)</f>
        <v>184080166.97729021</v>
      </c>
      <c r="E61" s="441">
        <f t="shared" si="7"/>
        <v>414781372.18000001</v>
      </c>
      <c r="F61" s="443">
        <f t="shared" si="7"/>
        <v>34611831.520000003</v>
      </c>
      <c r="G61" s="441">
        <f t="shared" si="7"/>
        <v>156335626.42000002</v>
      </c>
      <c r="H61" s="443">
        <f t="shared" si="7"/>
        <v>414781372.18000001</v>
      </c>
      <c r="I61" s="44">
        <f t="shared" si="1"/>
        <v>-258445745.75999999</v>
      </c>
      <c r="J61" s="330">
        <f t="shared" si="2"/>
        <v>-0.62308908522498441</v>
      </c>
      <c r="K61" s="442">
        <f t="shared" si="7"/>
        <v>414781372.18000001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59578472.800000012</v>
      </c>
      <c r="F62" s="743">
        <v>4208629.2599999988</v>
      </c>
      <c r="G62" s="742">
        <v>33968418.750000007</v>
      </c>
      <c r="H62" s="743">
        <f>E62/12*12</f>
        <v>59578472.800000012</v>
      </c>
      <c r="I62" s="44">
        <f t="shared" si="1"/>
        <v>-25610054.050000004</v>
      </c>
      <c r="J62" s="330">
        <f t="shared" si="2"/>
        <v>-0.42985415446902825</v>
      </c>
      <c r="K62" s="744">
        <f>E62</f>
        <v>59578472.800000012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3518.2200000000003</v>
      </c>
      <c r="G63" s="742">
        <v>103434.45</v>
      </c>
      <c r="H63" s="743">
        <f>E63/12*12</f>
        <v>423052.36</v>
      </c>
      <c r="I63" s="44">
        <f t="shared" si="1"/>
        <v>-319617.90999999997</v>
      </c>
      <c r="J63" s="330">
        <f t="shared" si="2"/>
        <v>-0.75550437775598267</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1559537</v>
      </c>
      <c r="G64" s="742">
        <v>88624735.260000005</v>
      </c>
      <c r="H64" s="743">
        <f>E64/12*12</f>
        <v>303685732.07999998</v>
      </c>
      <c r="I64" s="44">
        <f t="shared" si="1"/>
        <v>-215060996.81999999</v>
      </c>
      <c r="J64" s="330">
        <f t="shared" si="2"/>
        <v>-0.70816957829071281</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28840147.040000007</v>
      </c>
      <c r="G65" s="742">
        <v>33639037.960000001</v>
      </c>
      <c r="H65" s="743">
        <f>E65/12*12</f>
        <v>51094114.939999998</v>
      </c>
      <c r="I65" s="44">
        <f t="shared" si="1"/>
        <v>-17455076.979999997</v>
      </c>
      <c r="J65" s="330">
        <f t="shared" si="2"/>
        <v>-0.34162597787431209</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1">SUM(D84:D93)</f>
        <v>0</v>
      </c>
      <c r="E83" s="441">
        <f t="shared" si="11"/>
        <v>0</v>
      </c>
      <c r="F83" s="443">
        <f t="shared" si="11"/>
        <v>0</v>
      </c>
      <c r="G83" s="441">
        <f t="shared" si="11"/>
        <v>0</v>
      </c>
      <c r="H83" s="443">
        <f t="shared" si="11"/>
        <v>0</v>
      </c>
      <c r="I83" s="44">
        <f t="shared" si="8"/>
        <v>0</v>
      </c>
      <c r="J83" s="330" t="str">
        <f t="shared" si="9"/>
        <v/>
      </c>
      <c r="K83" s="442">
        <f t="shared" si="11"/>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hidden="1"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hidden="1"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hidden="1"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hidden="1"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hidden="1"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hidden="1"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hidden="1"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hidden="1"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hidden="1"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hidden="1"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hidden="1"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hidden="1"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hidden="1"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642</v>
      </c>
      <c r="B171" s="415">
        <v>2</v>
      </c>
      <c r="C171" s="504">
        <f>C6+C17+C28+C39+C50+C61+C72+C83+C94+C105+C116+C127+C138+C149+C160</f>
        <v>6098249279</v>
      </c>
      <c r="D171" s="451">
        <f t="shared" ref="D171:K171" si="22">D6+D17+D28+D39+D50+D61+D72+D83+D94+D105+D116+D127+D138+D149+D160</f>
        <v>6351937471.4078617</v>
      </c>
      <c r="E171" s="448">
        <f t="shared" si="22"/>
        <v>6602595773.5</v>
      </c>
      <c r="F171" s="450">
        <f t="shared" si="22"/>
        <v>445427361.17999995</v>
      </c>
      <c r="G171" s="448">
        <f t="shared" si="22"/>
        <v>5863532619.3999996</v>
      </c>
      <c r="H171" s="450">
        <f t="shared" si="22"/>
        <v>6602595773.5</v>
      </c>
      <c r="I171" s="514">
        <f t="shared" si="16"/>
        <v>-739063154.10000038</v>
      </c>
      <c r="J171" s="515">
        <f t="shared" si="17"/>
        <v>-0.11193524175238537</v>
      </c>
      <c r="K171" s="449">
        <f t="shared" si="22"/>
        <v>6602595773.5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3">SUM(C175:C184)</f>
        <v>194108064</v>
      </c>
      <c r="D174" s="471">
        <f t="shared" si="23"/>
        <v>177602227.38999999</v>
      </c>
      <c r="E174" s="468">
        <f t="shared" si="23"/>
        <v>175505612.53</v>
      </c>
      <c r="F174" s="470">
        <f t="shared" si="23"/>
        <v>18942145.549999997</v>
      </c>
      <c r="G174" s="468">
        <f t="shared" si="23"/>
        <v>156399533.59000003</v>
      </c>
      <c r="H174" s="470">
        <f t="shared" si="23"/>
        <v>175505612.53</v>
      </c>
      <c r="I174" s="44">
        <f t="shared" si="16"/>
        <v>-19106078.939999968</v>
      </c>
      <c r="J174" s="330">
        <f t="shared" si="17"/>
        <v>-0.10886306520102926</v>
      </c>
      <c r="K174" s="469">
        <f t="shared" si="23"/>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6127686.4500000011</v>
      </c>
      <c r="G175" s="734">
        <v>18629948.699999996</v>
      </c>
      <c r="H175" s="747">
        <f>E175/12*12</f>
        <v>22046360.869999997</v>
      </c>
      <c r="I175" s="44">
        <f t="shared" si="16"/>
        <v>-3416412.1700000018</v>
      </c>
      <c r="J175" s="330">
        <f t="shared" si="17"/>
        <v>-0.1549649028311493</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5000261.4700000007</v>
      </c>
      <c r="G176" s="734">
        <v>54503963.319999993</v>
      </c>
      <c r="H176" s="747">
        <f>E176/12*12</f>
        <v>60375786.029999994</v>
      </c>
      <c r="I176" s="44">
        <f t="shared" si="16"/>
        <v>-5871822.7100000009</v>
      </c>
      <c r="J176" s="330">
        <f t="shared" si="17"/>
        <v>-9.7254596521233916E-2</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7406668.4299999969</v>
      </c>
      <c r="G177" s="734">
        <v>77766456.200000033</v>
      </c>
      <c r="H177" s="747">
        <f>E177/12*12</f>
        <v>86956150.000000015</v>
      </c>
      <c r="I177" s="44">
        <f t="shared" si="16"/>
        <v>-9189693.7999999821</v>
      </c>
      <c r="J177" s="330">
        <f t="shared" si="17"/>
        <v>-0.10568193049025262</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407529.20000000007</v>
      </c>
      <c r="G178" s="734">
        <v>5499165.3700000001</v>
      </c>
      <c r="H178" s="747">
        <f>E178/12*12</f>
        <v>6127315.6299999999</v>
      </c>
      <c r="I178" s="44">
        <f t="shared" si="16"/>
        <v>-628150.25999999978</v>
      </c>
      <c r="J178" s="330">
        <f t="shared" si="17"/>
        <v>-0.10251638693533399</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24">SUM(E186:E195)</f>
        <v>670955506.27000034</v>
      </c>
      <c r="F185" s="443">
        <f t="shared" si="24"/>
        <v>-7749155.9699999951</v>
      </c>
      <c r="G185" s="441">
        <f t="shared" si="24"/>
        <v>319755558.62</v>
      </c>
      <c r="H185" s="443">
        <f t="shared" si="24"/>
        <v>670955506.27000034</v>
      </c>
      <c r="I185" s="44">
        <f t="shared" si="16"/>
        <v>-351199947.65000033</v>
      </c>
      <c r="J185" s="330">
        <f t="shared" si="17"/>
        <v>-0.52343254413754425</v>
      </c>
      <c r="K185" s="442">
        <f t="shared" si="24"/>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3946415.0500000012</v>
      </c>
      <c r="G186" s="734">
        <v>55230776.579999983</v>
      </c>
      <c r="H186" s="747">
        <f>E186/12*12</f>
        <v>115510544.95000002</v>
      </c>
      <c r="I186" s="44">
        <f t="shared" si="16"/>
        <v>-60279768.370000035</v>
      </c>
      <c r="J186" s="330">
        <f t="shared" si="17"/>
        <v>-0.52185511198213796</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-38006693.309999995</v>
      </c>
      <c r="G187" s="734">
        <v>27443771.289999973</v>
      </c>
      <c r="H187" s="747">
        <f>E187/12*12</f>
        <v>109395393.02000007</v>
      </c>
      <c r="I187" s="44">
        <f t="shared" si="16"/>
        <v>-81951621.730000094</v>
      </c>
      <c r="J187" s="330">
        <f t="shared" si="17"/>
        <v>-0.74913229403561254</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7114556.75</v>
      </c>
      <c r="G188" s="734">
        <v>63832386.820000015</v>
      </c>
      <c r="H188" s="747">
        <f>E188/12*12</f>
        <v>45875646.049999982</v>
      </c>
      <c r="I188" s="44">
        <f t="shared" si="16"/>
        <v>17956740.770000033</v>
      </c>
      <c r="J188" s="330">
        <f t="shared" si="17"/>
        <v>0.39142207938453744</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10103793.429999996</v>
      </c>
      <c r="G189" s="734">
        <v>116216255.84999998</v>
      </c>
      <c r="H189" s="747">
        <f>E189/12*12</f>
        <v>336664009.40000027</v>
      </c>
      <c r="I189" s="44">
        <f t="shared" si="16"/>
        <v>-220447753.55000031</v>
      </c>
      <c r="J189" s="330">
        <f t="shared" si="17"/>
        <v>-0.65480047583013234</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9092772.1099999994</v>
      </c>
      <c r="G190" s="734">
        <v>57032368.080000013</v>
      </c>
      <c r="H190" s="747">
        <f>E190/12*12</f>
        <v>63509912.849999994</v>
      </c>
      <c r="I190" s="44">
        <f t="shared" si="16"/>
        <v>-6477544.7699999809</v>
      </c>
      <c r="J190" s="330">
        <f t="shared" si="17"/>
        <v>-0.10199265719823739</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25">SUM(C197:C206)</f>
        <v>724942866.72000003</v>
      </c>
      <c r="D196" s="444">
        <f t="shared" si="25"/>
        <v>742913351.68133318</v>
      </c>
      <c r="E196" s="441">
        <f t="shared" si="25"/>
        <v>707784448.3599999</v>
      </c>
      <c r="F196" s="443">
        <f t="shared" si="25"/>
        <v>62567024.930000015</v>
      </c>
      <c r="G196" s="441">
        <f t="shared" si="25"/>
        <v>735272780.83999968</v>
      </c>
      <c r="H196" s="443">
        <f t="shared" si="25"/>
        <v>707784448.3599999</v>
      </c>
      <c r="I196" s="44">
        <f t="shared" si="16"/>
        <v>27488332.479999781</v>
      </c>
      <c r="J196" s="330">
        <f t="shared" si="17"/>
        <v>3.8837152389675576E-2</v>
      </c>
      <c r="K196" s="442">
        <f t="shared" si="25"/>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2433828.3000000003</v>
      </c>
      <c r="G197" s="734">
        <v>32338811.689999986</v>
      </c>
      <c r="H197" s="747">
        <f>E197/12*12</f>
        <v>31458764.060000017</v>
      </c>
      <c r="I197" s="44">
        <f t="shared" si="16"/>
        <v>880047.62999996915</v>
      </c>
      <c r="J197" s="330">
        <f t="shared" si="17"/>
        <v>2.7974640971955865E-2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25374712.460000001</v>
      </c>
      <c r="G198" s="734">
        <v>325107226.1099999</v>
      </c>
      <c r="H198" s="747">
        <f>E198/12*12</f>
        <v>284687362.88000017</v>
      </c>
      <c r="I198" s="44">
        <f t="shared" ref="I198:I261" si="26">G198-H198</f>
        <v>40419863.229999721</v>
      </c>
      <c r="J198" s="330">
        <f t="shared" ref="J198:J261" si="27">IF(I198=0,"",I198/H198)</f>
        <v>0.14197982945606644</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18469618.020000014</v>
      </c>
      <c r="G199" s="734">
        <v>255986918.83999968</v>
      </c>
      <c r="H199" s="747">
        <f>E199/12*12</f>
        <v>262330110.95999968</v>
      </c>
      <c r="I199" s="44">
        <f t="shared" si="26"/>
        <v>-6343192.1200000048</v>
      </c>
      <c r="J199" s="330">
        <f t="shared" si="27"/>
        <v>-2.4180190740540723E-2</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16288866.15</v>
      </c>
      <c r="G200" s="734">
        <v>121839824.19999999</v>
      </c>
      <c r="H200" s="747">
        <f>E200/12*12</f>
        <v>129308210.46000001</v>
      </c>
      <c r="I200" s="44">
        <f t="shared" si="26"/>
        <v>-7468386.2600000203</v>
      </c>
      <c r="J200" s="330">
        <f t="shared" si="27"/>
        <v>-5.7756473726084695E-2</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196080850</v>
      </c>
      <c r="D207" s="444">
        <f t="shared" si="28"/>
        <v>289334727.75999999</v>
      </c>
      <c r="E207" s="441">
        <f t="shared" si="28"/>
        <v>293123230.66999984</v>
      </c>
      <c r="F207" s="443">
        <f t="shared" si="28"/>
        <v>11256491.650000002</v>
      </c>
      <c r="G207" s="441">
        <f t="shared" si="28"/>
        <v>151988280.04000002</v>
      </c>
      <c r="H207" s="443">
        <f t="shared" si="28"/>
        <v>293123230.66999984</v>
      </c>
      <c r="I207" s="44">
        <f t="shared" si="26"/>
        <v>-141134950.62999982</v>
      </c>
      <c r="J207" s="330">
        <f t="shared" si="27"/>
        <v>-0.48148674640151778</v>
      </c>
      <c r="K207" s="442">
        <f t="shared" si="28"/>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5704882.3500000015</v>
      </c>
      <c r="G208" s="384">
        <v>74223393.310000017</v>
      </c>
      <c r="H208" s="472">
        <f>E208/12*12</f>
        <v>200543695.25999987</v>
      </c>
      <c r="I208" s="44">
        <f t="shared" si="26"/>
        <v>-126320301.94999985</v>
      </c>
      <c r="J208" s="330">
        <f t="shared" si="27"/>
        <v>-0.62988917096709895</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4966115.99</v>
      </c>
      <c r="G209" s="384">
        <v>32761209.189999998</v>
      </c>
      <c r="H209" s="472">
        <f>E209/12*12</f>
        <v>25874129.329999991</v>
      </c>
      <c r="I209" s="44">
        <f t="shared" si="26"/>
        <v>6887079.8600000069</v>
      </c>
      <c r="J209" s="330">
        <f t="shared" si="27"/>
        <v>0.26617629417252392</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1369086.43</v>
      </c>
      <c r="G210" s="384">
        <v>14712300.77</v>
      </c>
      <c r="H210" s="472">
        <f>E210/12*12</f>
        <v>13515157.719999995</v>
      </c>
      <c r="I210" s="44">
        <f t="shared" si="26"/>
        <v>1197143.0500000045</v>
      </c>
      <c r="J210" s="330">
        <f t="shared" si="27"/>
        <v>8.85778083246819E-2</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1412743.7400000002</v>
      </c>
      <c r="G211" s="384">
        <v>21239120.839999992</v>
      </c>
      <c r="H211" s="472">
        <f>E211/12*12</f>
        <v>28149216.039999992</v>
      </c>
      <c r="I211" s="44">
        <f t="shared" si="26"/>
        <v>-6910095.1999999993</v>
      </c>
      <c r="J211" s="330">
        <f t="shared" si="27"/>
        <v>-0.24548091109112113</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-2196336.8599999989</v>
      </c>
      <c r="G212" s="384">
        <v>9052255.9300000034</v>
      </c>
      <c r="H212" s="472">
        <f>E212/12*12</f>
        <v>25041032.319999989</v>
      </c>
      <c r="I212" s="44">
        <f t="shared" si="26"/>
        <v>-15988776.389999986</v>
      </c>
      <c r="J212" s="330">
        <f t="shared" si="27"/>
        <v>-0.63850308508367404</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29">SUM(C219:C228)</f>
        <v>3150241607.2800012</v>
      </c>
      <c r="D218" s="444">
        <f t="shared" si="29"/>
        <v>3451917725.5707622</v>
      </c>
      <c r="E218" s="441">
        <f t="shared" si="29"/>
        <v>3395533322.0000019</v>
      </c>
      <c r="F218" s="443">
        <f t="shared" si="29"/>
        <v>248778227.52999997</v>
      </c>
      <c r="G218" s="441">
        <f t="shared" si="29"/>
        <v>3457956215.9399972</v>
      </c>
      <c r="H218" s="443">
        <f t="shared" si="29"/>
        <v>3395533322.0000019</v>
      </c>
      <c r="I218" s="44">
        <f t="shared" si="26"/>
        <v>62422893.939995289</v>
      </c>
      <c r="J218" s="330">
        <f t="shared" si="27"/>
        <v>1.8383826050403063E-2</v>
      </c>
      <c r="K218" s="442">
        <f t="shared" si="29"/>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103898285.4400001</v>
      </c>
      <c r="G219" s="384">
        <v>2045322237.8799987</v>
      </c>
      <c r="H219" s="472">
        <f>E219/12*12</f>
        <v>2031338783.6000009</v>
      </c>
      <c r="I219" s="44">
        <f t="shared" si="26"/>
        <v>13983454.279997826</v>
      </c>
      <c r="J219" s="330">
        <f t="shared" si="27"/>
        <v>6.8838612214235971E-3</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1516922.9100000001</v>
      </c>
      <c r="G220" s="384">
        <v>12565048.09</v>
      </c>
      <c r="H220" s="472">
        <f>E220/12*12</f>
        <v>10455824.210000001</v>
      </c>
      <c r="I220" s="44">
        <f t="shared" si="26"/>
        <v>2109223.879999999</v>
      </c>
      <c r="J220" s="330">
        <f t="shared" si="27"/>
        <v>0.20172717498279352</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-50447.389999998326</v>
      </c>
      <c r="G221" s="384">
        <v>252364901.11000004</v>
      </c>
      <c r="H221" s="472">
        <f>E221/12*12</f>
        <v>199378098.1500001</v>
      </c>
      <c r="I221" s="44">
        <f t="shared" si="26"/>
        <v>52986802.959999949</v>
      </c>
      <c r="J221" s="330">
        <f t="shared" si="27"/>
        <v>0.26576039921965683</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143323101.64999989</v>
      </c>
      <c r="G222" s="384">
        <v>1146643947.1399989</v>
      </c>
      <c r="H222" s="472">
        <f>E222/12*12</f>
        <v>1128784172.5400007</v>
      </c>
      <c r="I222" s="44">
        <f t="shared" si="26"/>
        <v>17859774.599998236</v>
      </c>
      <c r="J222" s="330">
        <f t="shared" si="27"/>
        <v>1.5822134146167201E-2</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90364.92</v>
      </c>
      <c r="G223" s="384">
        <v>1060081.7199999997</v>
      </c>
      <c r="H223" s="472">
        <f>E223/12*12</f>
        <v>25576443.500000004</v>
      </c>
      <c r="I223" s="44">
        <f t="shared" si="26"/>
        <v>-24516361.780000005</v>
      </c>
      <c r="J223" s="330">
        <f t="shared" si="27"/>
        <v>-0.95855241875204433</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30">SUM(C230:C239)</f>
        <v>304396959</v>
      </c>
      <c r="D229" s="444">
        <f t="shared" si="30"/>
        <v>283275916.34000081</v>
      </c>
      <c r="E229" s="441">
        <f t="shared" si="30"/>
        <v>297162690.43000007</v>
      </c>
      <c r="F229" s="443">
        <f t="shared" si="30"/>
        <v>27841940.849999908</v>
      </c>
      <c r="G229" s="441">
        <f t="shared" si="30"/>
        <v>227218932.5200012</v>
      </c>
      <c r="H229" s="443">
        <f t="shared" si="30"/>
        <v>297162690.43000007</v>
      </c>
      <c r="I229" s="44">
        <f t="shared" si="26"/>
        <v>-69943757.909998864</v>
      </c>
      <c r="J229" s="330">
        <f t="shared" si="27"/>
        <v>-0.23537193652671845</v>
      </c>
      <c r="K229" s="442">
        <f t="shared" ref="K229:K234" si="31">E229</f>
        <v>297162690.43000007</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87220228.150000021</v>
      </c>
      <c r="E230" s="384">
        <v>82781114.249999985</v>
      </c>
      <c r="F230" s="472">
        <v>2693524.9799999101</v>
      </c>
      <c r="G230" s="384">
        <v>79924713.260001168</v>
      </c>
      <c r="H230" s="472">
        <f>E230/12*12</f>
        <v>82781114.249999985</v>
      </c>
      <c r="I230" s="44">
        <f t="shared" si="26"/>
        <v>-2856400.9899988174</v>
      </c>
      <c r="J230" s="330">
        <f t="shared" si="27"/>
        <v>-3.4505466806987538E-2</v>
      </c>
      <c r="K230" s="395">
        <f t="shared" si="31"/>
        <v>82781114.249999985</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1891464.4300000002</v>
      </c>
      <c r="G231" s="384">
        <v>16541210.140000006</v>
      </c>
      <c r="H231" s="472">
        <f>E231/12*12</f>
        <v>15958489.870000001</v>
      </c>
      <c r="I231" s="44">
        <f t="shared" si="26"/>
        <v>582720.27000000514</v>
      </c>
      <c r="J231" s="330">
        <f t="shared" si="27"/>
        <v>3.6514750126542213E-2</v>
      </c>
      <c r="K231" s="395">
        <f t="shared" si="31"/>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3098231.4699999979</v>
      </c>
      <c r="G232" s="384">
        <v>42590045.099999979</v>
      </c>
      <c r="H232" s="472">
        <f>E232/12*12</f>
        <v>111514659.90999997</v>
      </c>
      <c r="I232" s="44">
        <f t="shared" si="26"/>
        <v>-68924614.809999987</v>
      </c>
      <c r="J232" s="330">
        <f t="shared" si="27"/>
        <v>-0.61807671624185478</v>
      </c>
      <c r="K232" s="395">
        <f t="shared" si="31"/>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21319702.099999998</v>
      </c>
      <c r="G233" s="384">
        <v>87351715.100000069</v>
      </c>
      <c r="H233" s="472">
        <f>E233/12*12</f>
        <v>80355345.530000061</v>
      </c>
      <c r="I233" s="44">
        <f t="shared" si="26"/>
        <v>6996369.5700000077</v>
      </c>
      <c r="J233" s="330">
        <f t="shared" si="27"/>
        <v>8.7067879851104188E-2</v>
      </c>
      <c r="K233" s="395">
        <f t="shared" si="31"/>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-1160982.1299999997</v>
      </c>
      <c r="G234" s="384">
        <v>811248.91999999958</v>
      </c>
      <c r="H234" s="472">
        <f>E234/12*12</f>
        <v>6553080.870000001</v>
      </c>
      <c r="I234" s="44">
        <f t="shared" si="26"/>
        <v>-5741831.9500000011</v>
      </c>
      <c r="J234" s="330">
        <f t="shared" si="27"/>
        <v>-0.87620343223385255</v>
      </c>
      <c r="K234" s="395">
        <f t="shared" si="31"/>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32">SUM(C241:C250)</f>
        <v>0</v>
      </c>
      <c r="D240" s="444">
        <f t="shared" si="32"/>
        <v>0</v>
      </c>
      <c r="E240" s="441">
        <f t="shared" si="32"/>
        <v>0</v>
      </c>
      <c r="F240" s="443">
        <f t="shared" si="32"/>
        <v>0</v>
      </c>
      <c r="G240" s="441">
        <f t="shared" si="32"/>
        <v>0</v>
      </c>
      <c r="H240" s="443">
        <f t="shared" si="32"/>
        <v>0</v>
      </c>
      <c r="I240" s="44">
        <f t="shared" si="26"/>
        <v>0</v>
      </c>
      <c r="J240" s="330" t="str">
        <f t="shared" si="27"/>
        <v/>
      </c>
      <c r="K240" s="442">
        <f t="shared" si="32"/>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26"/>
        <v>0</v>
      </c>
      <c r="J242" s="330" t="str">
        <f t="shared" si="27"/>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33">SUM(C252:C261)</f>
        <v>0</v>
      </c>
      <c r="D251" s="444">
        <f t="shared" si="33"/>
        <v>0</v>
      </c>
      <c r="E251" s="441">
        <f t="shared" si="33"/>
        <v>0</v>
      </c>
      <c r="F251" s="443">
        <f t="shared" si="33"/>
        <v>0</v>
      </c>
      <c r="G251" s="441">
        <f t="shared" si="33"/>
        <v>0</v>
      </c>
      <c r="H251" s="443">
        <f t="shared" si="33"/>
        <v>0</v>
      </c>
      <c r="I251" s="44">
        <f t="shared" si="26"/>
        <v>0</v>
      </c>
      <c r="J251" s="330" t="str">
        <f t="shared" si="27"/>
        <v/>
      </c>
      <c r="K251" s="442">
        <f t="shared" si="33"/>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26"/>
        <v>0</v>
      </c>
      <c r="J253" s="330" t="str">
        <f t="shared" si="27"/>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34">SUM(C263:C272)</f>
        <v>0</v>
      </c>
      <c r="D262" s="444">
        <f t="shared" si="34"/>
        <v>0</v>
      </c>
      <c r="E262" s="441">
        <f t="shared" si="34"/>
        <v>0</v>
      </c>
      <c r="F262" s="443">
        <f t="shared" si="34"/>
        <v>0</v>
      </c>
      <c r="G262" s="441">
        <f t="shared" si="34"/>
        <v>0</v>
      </c>
      <c r="H262" s="443">
        <f t="shared" si="34"/>
        <v>0</v>
      </c>
      <c r="I262" s="44">
        <f t="shared" ref="I262:I325" si="35">G262-H262</f>
        <v>0</v>
      </c>
      <c r="J262" s="330" t="str">
        <f t="shared" ref="J262:J325" si="36">IF(I262=0,"",I262/H262)</f>
        <v/>
      </c>
      <c r="K262" s="442">
        <f t="shared" si="34"/>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35"/>
        <v>0</v>
      </c>
      <c r="J263" s="330" t="str">
        <f t="shared" si="36"/>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35"/>
        <v>0</v>
      </c>
      <c r="J264" s="330" t="str">
        <f t="shared" si="36"/>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37">SUM(C274:C283)</f>
        <v>0</v>
      </c>
      <c r="D273" s="444">
        <f t="shared" si="37"/>
        <v>0</v>
      </c>
      <c r="E273" s="441">
        <f t="shared" si="37"/>
        <v>0</v>
      </c>
      <c r="F273" s="443">
        <f t="shared" si="37"/>
        <v>0</v>
      </c>
      <c r="G273" s="441">
        <f t="shared" si="37"/>
        <v>0</v>
      </c>
      <c r="H273" s="443">
        <f t="shared" si="37"/>
        <v>0</v>
      </c>
      <c r="I273" s="44">
        <f t="shared" si="35"/>
        <v>0</v>
      </c>
      <c r="J273" s="330" t="str">
        <f t="shared" si="36"/>
        <v/>
      </c>
      <c r="K273" s="442">
        <f t="shared" si="37"/>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35"/>
        <v>0</v>
      </c>
      <c r="J275" s="330" t="str">
        <f t="shared" si="36"/>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38">SUM(C285:C294)</f>
        <v>0</v>
      </c>
      <c r="D284" s="444">
        <f t="shared" si="38"/>
        <v>0</v>
      </c>
      <c r="E284" s="441">
        <f t="shared" si="38"/>
        <v>0</v>
      </c>
      <c r="F284" s="443">
        <f t="shared" si="38"/>
        <v>0</v>
      </c>
      <c r="G284" s="441">
        <f t="shared" si="38"/>
        <v>0</v>
      </c>
      <c r="H284" s="443">
        <f t="shared" si="38"/>
        <v>0</v>
      </c>
      <c r="I284" s="44">
        <f t="shared" si="35"/>
        <v>0</v>
      </c>
      <c r="J284" s="330" t="str">
        <f t="shared" si="36"/>
        <v/>
      </c>
      <c r="K284" s="442">
        <f t="shared" si="38"/>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35"/>
        <v>0</v>
      </c>
      <c r="J286" s="330" t="str">
        <f t="shared" si="36"/>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39">SUM(C296:C305)</f>
        <v>0</v>
      </c>
      <c r="D295" s="444">
        <f t="shared" si="39"/>
        <v>0</v>
      </c>
      <c r="E295" s="441">
        <f t="shared" si="39"/>
        <v>0</v>
      </c>
      <c r="F295" s="443">
        <f t="shared" si="39"/>
        <v>0</v>
      </c>
      <c r="G295" s="441">
        <f t="shared" si="39"/>
        <v>0</v>
      </c>
      <c r="H295" s="443">
        <f t="shared" si="39"/>
        <v>0</v>
      </c>
      <c r="I295" s="44">
        <f t="shared" si="35"/>
        <v>0</v>
      </c>
      <c r="J295" s="330" t="str">
        <f t="shared" si="36"/>
        <v/>
      </c>
      <c r="K295" s="442">
        <f t="shared" si="39"/>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35"/>
        <v>0</v>
      </c>
      <c r="J297" s="330" t="str">
        <f t="shared" si="36"/>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40">SUM(C307:C316)</f>
        <v>0</v>
      </c>
      <c r="D306" s="444">
        <f t="shared" si="40"/>
        <v>0</v>
      </c>
      <c r="E306" s="441">
        <f t="shared" si="40"/>
        <v>0</v>
      </c>
      <c r="F306" s="443">
        <f t="shared" si="40"/>
        <v>0</v>
      </c>
      <c r="G306" s="441">
        <f t="shared" si="40"/>
        <v>0</v>
      </c>
      <c r="H306" s="443">
        <f t="shared" si="40"/>
        <v>0</v>
      </c>
      <c r="I306" s="44">
        <f t="shared" si="35"/>
        <v>0</v>
      </c>
      <c r="J306" s="330" t="str">
        <f t="shared" si="36"/>
        <v/>
      </c>
      <c r="K306" s="442">
        <f t="shared" si="40"/>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35"/>
        <v>0</v>
      </c>
      <c r="J308" s="330" t="str">
        <f t="shared" si="36"/>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41">SUM(C318:C327)</f>
        <v>0</v>
      </c>
      <c r="D317" s="444">
        <f t="shared" si="41"/>
        <v>0</v>
      </c>
      <c r="E317" s="441">
        <f t="shared" si="41"/>
        <v>0</v>
      </c>
      <c r="F317" s="443">
        <f t="shared" si="41"/>
        <v>0</v>
      </c>
      <c r="G317" s="441">
        <f t="shared" si="41"/>
        <v>0</v>
      </c>
      <c r="H317" s="443">
        <f t="shared" si="41"/>
        <v>0</v>
      </c>
      <c r="I317" s="44">
        <f t="shared" si="35"/>
        <v>0</v>
      </c>
      <c r="J317" s="330" t="str">
        <f t="shared" si="36"/>
        <v/>
      </c>
      <c r="K317" s="442">
        <f t="shared" si="41"/>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35"/>
        <v>0</v>
      </c>
      <c r="J319" s="330" t="str">
        <f t="shared" si="36"/>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42">G326-H326</f>
        <v>0</v>
      </c>
      <c r="J326" s="330" t="str">
        <f t="shared" ref="J326:J341" si="43">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42"/>
        <v>0</v>
      </c>
      <c r="J327" s="330" t="str">
        <f t="shared" si="43"/>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44">SUM(C329:C338)</f>
        <v>0</v>
      </c>
      <c r="D328" s="444">
        <f t="shared" si="44"/>
        <v>0</v>
      </c>
      <c r="E328" s="441">
        <f t="shared" si="44"/>
        <v>0</v>
      </c>
      <c r="F328" s="443">
        <f t="shared" si="44"/>
        <v>0</v>
      </c>
      <c r="G328" s="441">
        <f t="shared" si="44"/>
        <v>0</v>
      </c>
      <c r="H328" s="443">
        <f t="shared" si="44"/>
        <v>0</v>
      </c>
      <c r="I328" s="44">
        <f t="shared" si="42"/>
        <v>0</v>
      </c>
      <c r="J328" s="330" t="str">
        <f t="shared" si="43"/>
        <v/>
      </c>
      <c r="K328" s="442">
        <f t="shared" si="44"/>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42"/>
        <v>0</v>
      </c>
      <c r="J330" s="330" t="str">
        <f t="shared" si="43"/>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42"/>
        <v>0</v>
      </c>
      <c r="J338" s="330" t="str">
        <f t="shared" si="43"/>
        <v/>
      </c>
      <c r="K338" s="395"/>
      <c r="L338" s="452">
        <f t="shared" ref="L338:W338" si="45">SUM(L173:L249)</f>
        <v>0</v>
      </c>
      <c r="M338" s="453">
        <f t="shared" si="45"/>
        <v>0</v>
      </c>
      <c r="N338" s="453">
        <f t="shared" si="45"/>
        <v>0</v>
      </c>
      <c r="O338" s="453">
        <f t="shared" si="45"/>
        <v>0</v>
      </c>
      <c r="P338" s="453">
        <f t="shared" si="45"/>
        <v>0</v>
      </c>
      <c r="Q338" s="453">
        <f t="shared" si="45"/>
        <v>0</v>
      </c>
      <c r="R338" s="453">
        <f t="shared" si="45"/>
        <v>0</v>
      </c>
      <c r="S338" s="453">
        <f t="shared" si="45"/>
        <v>0</v>
      </c>
      <c r="T338" s="453">
        <f t="shared" si="45"/>
        <v>0</v>
      </c>
      <c r="U338" s="453">
        <f t="shared" si="45"/>
        <v>0</v>
      </c>
      <c r="V338" s="453">
        <f t="shared" si="45"/>
        <v>0</v>
      </c>
      <c r="W338" s="453">
        <f t="shared" si="45"/>
        <v>0</v>
      </c>
    </row>
    <row r="339" spans="1:24" ht="12.75" customHeight="1" x14ac:dyDescent="0.25">
      <c r="A339" s="447" t="s">
        <v>641</v>
      </c>
      <c r="B339" s="445">
        <v>2</v>
      </c>
      <c r="C339" s="508">
        <f t="shared" ref="C339:H339" si="46">C174+C185+C196+C207+C218+C229+C240+C251+C262++C273+C284+C295+C306+C317+C328</f>
        <v>5545120282.000001</v>
      </c>
      <c r="D339" s="475">
        <f t="shared" si="46"/>
        <v>5636479723.2493496</v>
      </c>
      <c r="E339" s="430">
        <f t="shared" si="46"/>
        <v>5540064810.2600021</v>
      </c>
      <c r="F339" s="474">
        <f t="shared" si="46"/>
        <v>361636674.5399999</v>
      </c>
      <c r="G339" s="430">
        <f t="shared" si="46"/>
        <v>5048591301.5499983</v>
      </c>
      <c r="H339" s="474">
        <f t="shared" si="46"/>
        <v>5540064810.2600021</v>
      </c>
      <c r="I339" s="430">
        <f t="shared" si="42"/>
        <v>-491473508.71000385</v>
      </c>
      <c r="J339" s="430">
        <f t="shared" si="43"/>
        <v>-8.8712591917663577E-2</v>
      </c>
      <c r="K339" s="513">
        <f>K174+K185+K196+K207+K218+K229+K240+K251+K262++K273+K284+K295+K306+K317+K328</f>
        <v>5540064810.2600021</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2"/>
        <v>0</v>
      </c>
      <c r="J340" s="50" t="str">
        <f t="shared" si="43"/>
        <v/>
      </c>
      <c r="K340" s="194"/>
      <c r="L340" s="480">
        <f t="shared" ref="L340:W340" si="47">L170-L338</f>
        <v>0</v>
      </c>
      <c r="M340" s="481">
        <f t="shared" si="47"/>
        <v>0</v>
      </c>
      <c r="N340" s="481">
        <f t="shared" si="47"/>
        <v>0</v>
      </c>
      <c r="O340" s="481">
        <f t="shared" si="47"/>
        <v>0</v>
      </c>
      <c r="P340" s="481">
        <f t="shared" si="47"/>
        <v>0</v>
      </c>
      <c r="Q340" s="481">
        <f t="shared" si="47"/>
        <v>0</v>
      </c>
      <c r="R340" s="481">
        <f t="shared" si="47"/>
        <v>0</v>
      </c>
      <c r="S340" s="481">
        <f t="shared" si="47"/>
        <v>0</v>
      </c>
      <c r="T340" s="481">
        <f t="shared" si="47"/>
        <v>0</v>
      </c>
      <c r="U340" s="481">
        <f t="shared" si="47"/>
        <v>0</v>
      </c>
      <c r="V340" s="481">
        <f t="shared" si="47"/>
        <v>0</v>
      </c>
      <c r="W340" s="481">
        <f t="shared" si="47"/>
        <v>0</v>
      </c>
    </row>
    <row r="341" spans="1:24" s="486" customFormat="1" ht="11.25" customHeight="1" thickTop="1" x14ac:dyDescent="0.25">
      <c r="A341" s="887" t="str">
        <f>result</f>
        <v>Surplus/ (Deficit) for the year</v>
      </c>
      <c r="B341" s="477">
        <v>2</v>
      </c>
      <c r="C341" s="509">
        <f t="shared" ref="C341:H341" si="48">C171-C339</f>
        <v>553128996.99999905</v>
      </c>
      <c r="D341" s="512">
        <f t="shared" si="48"/>
        <v>715457748.15851212</v>
      </c>
      <c r="E341" s="55">
        <f t="shared" si="48"/>
        <v>1062530963.2399979</v>
      </c>
      <c r="F341" s="479">
        <f t="shared" si="48"/>
        <v>83790686.640000045</v>
      </c>
      <c r="G341" s="55">
        <f t="shared" si="48"/>
        <v>814941317.85000134</v>
      </c>
      <c r="H341" s="479">
        <f t="shared" si="48"/>
        <v>1062530963.2399979</v>
      </c>
      <c r="I341" s="55">
        <f t="shared" si="42"/>
        <v>-247589645.38999653</v>
      </c>
      <c r="J341" s="55">
        <f t="shared" si="43"/>
        <v>-0.23301875799931163</v>
      </c>
      <c r="K341" s="235">
        <f>K171-K339</f>
        <v>1062530963.2399979</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6" activePane="bottomRight" state="frozen"/>
      <selection pane="topRight"/>
      <selection pane="bottomLeft"/>
      <selection pane="bottomRight" activeCell="F39" sqref="F39:G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"&amp;S71B&amp; " - "&amp;date</f>
        <v>KZN225 Msunduzi - Table C4 Consolidated Monthly Budget Statement - Financial Performance (revenue and expenditure)  - Q4 Fourth Quarter</v>
      </c>
      <c r="B1" s="1037"/>
      <c r="C1" s="1037"/>
      <c r="D1" s="1037"/>
      <c r="E1" s="1037"/>
      <c r="F1" s="1037"/>
      <c r="G1" s="1037"/>
      <c r="H1" s="1037"/>
      <c r="I1" s="1037"/>
      <c r="J1" s="1037"/>
      <c r="K1" s="1037"/>
    </row>
    <row r="2" spans="1:11" x14ac:dyDescent="0.25">
      <c r="A2" s="1026" t="str">
        <f>desc</f>
        <v>Description</v>
      </c>
      <c r="B2" s="1035" t="str">
        <f>head27</f>
        <v>Ref</v>
      </c>
      <c r="C2" s="158" t="str">
        <f>Head1</f>
        <v>2018/19</v>
      </c>
      <c r="D2" s="1021" t="str">
        <f>Head2</f>
        <v>Budget Year 2019/20</v>
      </c>
      <c r="E2" s="1022"/>
      <c r="F2" s="1022"/>
      <c r="G2" s="1022"/>
      <c r="H2" s="1022"/>
      <c r="I2" s="1022"/>
      <c r="J2" s="1022"/>
      <c r="K2" s="1023"/>
    </row>
    <row r="3" spans="1:11" ht="25.5" x14ac:dyDescent="0.25">
      <c r="A3" s="1027"/>
      <c r="B3" s="1036"/>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87704042.309999987</v>
      </c>
      <c r="G6" s="734">
        <v>1179011657.9400003</v>
      </c>
      <c r="H6" s="734">
        <f>E6/12*12</f>
        <v>1200771538.4599996</v>
      </c>
      <c r="I6" s="44">
        <f t="shared" ref="I6:I22" si="0">G6-H6</f>
        <v>-21759880.519999266</v>
      </c>
      <c r="J6" s="330">
        <f t="shared" ref="J6:J22" si="1">IF(I6=0,"",I6/H6)</f>
        <v>-1.812158251844186E-2</v>
      </c>
      <c r="K6" s="736">
        <f>E6</f>
        <v>1200771538.4599996</v>
      </c>
    </row>
    <row r="7" spans="1:11" ht="11.25" customHeight="1" x14ac:dyDescent="0.25">
      <c r="A7" s="39" t="s">
        <v>843</v>
      </c>
      <c r="B7" s="419"/>
      <c r="C7" s="749">
        <v>2183865035</v>
      </c>
      <c r="D7" s="746">
        <v>2417937958.4970875</v>
      </c>
      <c r="E7" s="734">
        <v>2417937958.4970875</v>
      </c>
      <c r="F7" s="734">
        <v>186110458.50999999</v>
      </c>
      <c r="G7" s="734">
        <v>2166461952.0500002</v>
      </c>
      <c r="H7" s="734">
        <f>E7/12*12</f>
        <v>2417937958.4970875</v>
      </c>
      <c r="I7" s="44">
        <f t="shared" si="0"/>
        <v>-251476006.44708729</v>
      </c>
      <c r="J7" s="330">
        <f t="shared" si="1"/>
        <v>-0.10400432548873036</v>
      </c>
      <c r="K7" s="736">
        <f>E7</f>
        <v>2417937958.4970875</v>
      </c>
    </row>
    <row r="8" spans="1:11" ht="11.25" customHeight="1" x14ac:dyDescent="0.25">
      <c r="A8" s="86" t="s">
        <v>844</v>
      </c>
      <c r="B8" s="421"/>
      <c r="C8" s="749">
        <v>603660664</v>
      </c>
      <c r="D8" s="746">
        <v>662966142.04000008</v>
      </c>
      <c r="E8" s="734">
        <v>662966141.82400012</v>
      </c>
      <c r="F8" s="734">
        <v>47412249.609999999</v>
      </c>
      <c r="G8" s="734">
        <v>673935125.70999992</v>
      </c>
      <c r="H8" s="734">
        <f>E8/12*12</f>
        <v>662966141.82400012</v>
      </c>
      <c r="I8" s="44">
        <f t="shared" si="0"/>
        <v>10968983.885999799</v>
      </c>
      <c r="J8" s="330">
        <f t="shared" si="1"/>
        <v>1.6545315354749703E-2</v>
      </c>
      <c r="K8" s="736">
        <f>E8</f>
        <v>662966141.82400012</v>
      </c>
    </row>
    <row r="9" spans="1:11" ht="11.25" customHeight="1" x14ac:dyDescent="0.25">
      <c r="A9" s="86" t="s">
        <v>845</v>
      </c>
      <c r="B9" s="421"/>
      <c r="C9" s="749">
        <v>137071995</v>
      </c>
      <c r="D9" s="746">
        <v>145475358.24000001</v>
      </c>
      <c r="E9" s="734">
        <v>145296314.69999999</v>
      </c>
      <c r="F9" s="734">
        <v>-133246692.17</v>
      </c>
      <c r="G9" s="734">
        <v>171703663.99000001</v>
      </c>
      <c r="H9" s="734">
        <f>E9/12*12</f>
        <v>145296314.69999999</v>
      </c>
      <c r="I9" s="44">
        <f t="shared" si="0"/>
        <v>26407349.290000021</v>
      </c>
      <c r="J9" s="330">
        <f t="shared" si="1"/>
        <v>0.18174823872528698</v>
      </c>
      <c r="K9" s="736">
        <f>E9</f>
        <v>145296314.69999999</v>
      </c>
    </row>
    <row r="10" spans="1:11" ht="11.25" customHeight="1" x14ac:dyDescent="0.25">
      <c r="A10" s="517" t="s">
        <v>73</v>
      </c>
      <c r="B10" s="421"/>
      <c r="C10" s="749">
        <v>106276001</v>
      </c>
      <c r="D10" s="746">
        <v>111323522.45999999</v>
      </c>
      <c r="E10" s="734">
        <v>111323522.45999999</v>
      </c>
      <c r="F10" s="734">
        <v>8456716.5999999996</v>
      </c>
      <c r="G10" s="734">
        <v>109466040.63</v>
      </c>
      <c r="H10" s="734">
        <f>E10/12*12</f>
        <v>111323522.46000001</v>
      </c>
      <c r="I10" s="44">
        <f t="shared" si="0"/>
        <v>-1857481.8300000131</v>
      </c>
      <c r="J10" s="330">
        <f t="shared" si="1"/>
        <v>-1.6685438880784879E-2</v>
      </c>
      <c r="K10" s="736">
        <f>E10</f>
        <v>111323522.45999999</v>
      </c>
    </row>
    <row r="11" spans="1:11" ht="0.95" customHeight="1" x14ac:dyDescent="0.25">
      <c r="A11" s="86"/>
      <c r="B11" s="421"/>
      <c r="C11" s="649"/>
      <c r="D11" s="650"/>
      <c r="E11" s="408"/>
      <c r="F11" s="408"/>
      <c r="G11" s="408"/>
      <c r="H11" s="408"/>
      <c r="I11" s="408"/>
      <c r="J11" s="948"/>
      <c r="K11" s="643"/>
    </row>
    <row r="12" spans="1:11" ht="11.25" customHeight="1" x14ac:dyDescent="0.25">
      <c r="A12" s="86" t="s">
        <v>976</v>
      </c>
      <c r="B12" s="421"/>
      <c r="C12" s="749">
        <v>35220143</v>
      </c>
      <c r="D12" s="746">
        <v>27826600.600000001</v>
      </c>
      <c r="E12" s="734">
        <v>27826600.600000001</v>
      </c>
      <c r="F12" s="734">
        <v>7744255.9700000025</v>
      </c>
      <c r="G12" s="734">
        <v>43810507.56000001</v>
      </c>
      <c r="H12" s="734">
        <f>E12/12*12</f>
        <v>27826600.600000001</v>
      </c>
      <c r="I12" s="44">
        <f t="shared" si="0"/>
        <v>15983906.960000008</v>
      </c>
      <c r="J12" s="330">
        <f t="shared" si="1"/>
        <v>0.57441105328546693</v>
      </c>
      <c r="K12" s="736">
        <f>E12</f>
        <v>27826600.600000001</v>
      </c>
    </row>
    <row r="13" spans="1:11" ht="11.25" customHeight="1" x14ac:dyDescent="0.25">
      <c r="A13" s="86" t="s">
        <v>848</v>
      </c>
      <c r="B13" s="421"/>
      <c r="C13" s="749">
        <v>39866400</v>
      </c>
      <c r="D13" s="746">
        <v>14702275.050000001</v>
      </c>
      <c r="E13" s="734">
        <v>14702275.050000001</v>
      </c>
      <c r="F13" s="734">
        <v>1769145.74</v>
      </c>
      <c r="G13" s="734">
        <v>14116343.540000001</v>
      </c>
      <c r="H13" s="734">
        <f>E13/12*12</f>
        <v>14702275.050000001</v>
      </c>
      <c r="I13" s="44">
        <f t="shared" si="0"/>
        <v>-585931.50999999978</v>
      </c>
      <c r="J13" s="330">
        <f t="shared" si="1"/>
        <v>-3.985311851447098E-2</v>
      </c>
      <c r="K13" s="736">
        <f>E13</f>
        <v>14702275.050000001</v>
      </c>
    </row>
    <row r="14" spans="1:11" ht="11.25" customHeight="1" x14ac:dyDescent="0.25">
      <c r="A14" s="86" t="s">
        <v>849</v>
      </c>
      <c r="B14" s="421"/>
      <c r="C14" s="749">
        <v>117861252</v>
      </c>
      <c r="D14" s="746">
        <v>193739515.68000001</v>
      </c>
      <c r="E14" s="734">
        <v>193739515.68000001</v>
      </c>
      <c r="F14" s="734">
        <v>31041337.869999997</v>
      </c>
      <c r="G14" s="734">
        <v>304091132.32999998</v>
      </c>
      <c r="H14" s="734">
        <f>E14/12*12</f>
        <v>193739515.68000001</v>
      </c>
      <c r="I14" s="44">
        <f t="shared" si="0"/>
        <v>110351616.64999998</v>
      </c>
      <c r="J14" s="330">
        <f t="shared" si="1"/>
        <v>0.56958755297121721</v>
      </c>
      <c r="K14" s="736">
        <f>E14</f>
        <v>193739515.68000001</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4135451.81</v>
      </c>
      <c r="G16" s="734">
        <v>13272582.050000001</v>
      </c>
      <c r="H16" s="734">
        <f>E16/12*12</f>
        <v>16064007.439999999</v>
      </c>
      <c r="I16" s="44">
        <f t="shared" si="0"/>
        <v>-2791425.3899999987</v>
      </c>
      <c r="J16" s="330">
        <f t="shared" si="1"/>
        <v>-0.17376893035104313</v>
      </c>
      <c r="K16" s="736">
        <f>E16</f>
        <v>16064007.439999999</v>
      </c>
    </row>
    <row r="17" spans="1:11" ht="11.25" customHeight="1" x14ac:dyDescent="0.25">
      <c r="A17" s="86" t="s">
        <v>850</v>
      </c>
      <c r="B17" s="421"/>
      <c r="C17" s="749">
        <v>112584</v>
      </c>
      <c r="D17" s="746">
        <v>1071357.9000000001</v>
      </c>
      <c r="E17" s="734">
        <v>1071357.9000000001</v>
      </c>
      <c r="F17" s="734">
        <v>126825.37000000001</v>
      </c>
      <c r="G17" s="734">
        <v>604456.46000000008</v>
      </c>
      <c r="H17" s="734">
        <f>E17/12*12</f>
        <v>1071357.9000000001</v>
      </c>
      <c r="I17" s="44">
        <f t="shared" si="0"/>
        <v>-466901.44000000006</v>
      </c>
      <c r="J17" s="330">
        <f t="shared" si="1"/>
        <v>-0.43580342292710961</v>
      </c>
      <c r="K17" s="736">
        <f>E17</f>
        <v>1071357.9000000001</v>
      </c>
    </row>
    <row r="18" spans="1:11" ht="11.25" customHeight="1" x14ac:dyDescent="0.25">
      <c r="A18" s="86" t="s">
        <v>587</v>
      </c>
      <c r="B18" s="421"/>
      <c r="C18" s="749">
        <v>392037</v>
      </c>
      <c r="D18" s="746">
        <v>575982.80000000005</v>
      </c>
      <c r="E18" s="734">
        <v>575982.80000000005</v>
      </c>
      <c r="F18" s="734">
        <v>232170</v>
      </c>
      <c r="G18" s="734">
        <v>1487900</v>
      </c>
      <c r="H18" s="734">
        <f>E18/12*12</f>
        <v>575982.80000000005</v>
      </c>
      <c r="I18" s="44">
        <f t="shared" si="0"/>
        <v>911917.2</v>
      </c>
      <c r="J18" s="330">
        <f t="shared" si="1"/>
        <v>1.583236860545141</v>
      </c>
      <c r="K18" s="736">
        <f>E18</f>
        <v>575982.80000000005</v>
      </c>
    </row>
    <row r="19" spans="1:11" ht="11.25" customHeight="1" x14ac:dyDescent="0.25">
      <c r="A19" s="518" t="s">
        <v>1131</v>
      </c>
      <c r="B19" s="421"/>
      <c r="C19" s="749">
        <v>667200100</v>
      </c>
      <c r="D19" s="746">
        <v>672022829</v>
      </c>
      <c r="E19" s="734">
        <v>687201130</v>
      </c>
      <c r="F19" s="734">
        <v>49143496.149999999</v>
      </c>
      <c r="G19" s="734">
        <v>637128043.97000015</v>
      </c>
      <c r="H19" s="734">
        <f>E19/12*12</f>
        <v>687201130</v>
      </c>
      <c r="I19" s="44">
        <f t="shared" si="0"/>
        <v>-50073086.029999852</v>
      </c>
      <c r="J19" s="330">
        <f t="shared" si="1"/>
        <v>-7.2865255663942016E-2</v>
      </c>
      <c r="K19" s="736">
        <f>E19</f>
        <v>687201130</v>
      </c>
    </row>
    <row r="20" spans="1:11" ht="11.25" customHeight="1" x14ac:dyDescent="0.25">
      <c r="A20" s="86" t="s">
        <v>460</v>
      </c>
      <c r="B20" s="421"/>
      <c r="C20" s="749">
        <v>159778553</v>
      </c>
      <c r="D20" s="746">
        <v>140145248.93999997</v>
      </c>
      <c r="E20" s="734">
        <v>140324292.47999999</v>
      </c>
      <c r="F20" s="734">
        <v>29771458.940000009</v>
      </c>
      <c r="G20" s="734">
        <v>125583573.89</v>
      </c>
      <c r="H20" s="734">
        <f>E20/12*12</f>
        <v>140324292.47999999</v>
      </c>
      <c r="I20" s="44">
        <f t="shared" si="0"/>
        <v>-14740718.589999989</v>
      </c>
      <c r="J20" s="330">
        <f t="shared" si="1"/>
        <v>-0.10504751764275555</v>
      </c>
      <c r="K20" s="736">
        <f>E20</f>
        <v>140324292.47999999</v>
      </c>
    </row>
    <row r="21" spans="1:11" ht="11.25" customHeight="1" x14ac:dyDescent="0.25">
      <c r="A21" s="39" t="s">
        <v>851</v>
      </c>
      <c r="B21" s="419"/>
      <c r="C21" s="749"/>
      <c r="D21" s="746"/>
      <c r="E21" s="734"/>
      <c r="F21" s="734">
        <v>2.9999971389770508E-2</v>
      </c>
      <c r="G21" s="734">
        <v>2.9998779296875E-2</v>
      </c>
      <c r="H21" s="734"/>
      <c r="I21" s="44">
        <f t="shared" si="0"/>
        <v>2.9998779296875E-2</v>
      </c>
      <c r="J21" s="330" t="e">
        <f t="shared" si="1"/>
        <v>#DIV/0!</v>
      </c>
      <c r="K21" s="736"/>
    </row>
    <row r="22" spans="1:11" ht="24.75" customHeight="1" x14ac:dyDescent="0.25">
      <c r="A22" s="587" t="s">
        <v>140</v>
      </c>
      <c r="B22" s="588"/>
      <c r="C22" s="522">
        <f t="shared" ref="C22:H22" si="2">SUM(C6:C10)+SUM(C12:C21)</f>
        <v>5027344757</v>
      </c>
      <c r="D22" s="523">
        <f t="shared" si="2"/>
        <v>5604622337.1070871</v>
      </c>
      <c r="E22" s="524">
        <f t="shared" si="2"/>
        <v>5619800637.8910866</v>
      </c>
      <c r="F22" s="524">
        <f t="shared" si="2"/>
        <v>320400916.73999995</v>
      </c>
      <c r="G22" s="524">
        <f t="shared" si="2"/>
        <v>5440672980.1499996</v>
      </c>
      <c r="H22" s="524">
        <f t="shared" si="2"/>
        <v>5619800637.8910866</v>
      </c>
      <c r="I22" s="524">
        <f t="shared" si="0"/>
        <v>-179127657.74108696</v>
      </c>
      <c r="J22" s="525">
        <f t="shared" si="1"/>
        <v>-3.1874379410068765E-2</v>
      </c>
      <c r="K22" s="526">
        <f>SUM(K6:K10)+SUM(K12:K21)</f>
        <v>5619800637.8910866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1455869442.71</v>
      </c>
      <c r="E25" s="734">
        <v>1455410731.7000008</v>
      </c>
      <c r="F25" s="734">
        <v>78800952.099999979</v>
      </c>
      <c r="G25" s="734">
        <v>1250924393.7800012</v>
      </c>
      <c r="H25" s="734">
        <f t="shared" ref="H25:H34" si="3">E25/12*12</f>
        <v>1455410731.7000008</v>
      </c>
      <c r="I25" s="44">
        <f t="shared" ref="I25:I36" si="4">G25-H25</f>
        <v>-204486337.9199996</v>
      </c>
      <c r="J25" s="330">
        <f t="shared" ref="J25:J41" si="5">IF(I25=0,"",I25/H25)</f>
        <v>-0.14050077649293419</v>
      </c>
      <c r="K25" s="736">
        <f t="shared" ref="K25:K35" si="6">E25</f>
        <v>1455410731.7000008</v>
      </c>
    </row>
    <row r="26" spans="1:11" ht="12.75" customHeight="1" x14ac:dyDescent="0.25">
      <c r="A26" s="39" t="s">
        <v>484</v>
      </c>
      <c r="B26" s="419"/>
      <c r="C26" s="749">
        <v>48573499</v>
      </c>
      <c r="D26" s="746">
        <v>51487908.93999999</v>
      </c>
      <c r="E26" s="734">
        <v>51487908.93999999</v>
      </c>
      <c r="F26" s="734">
        <v>3691384.77</v>
      </c>
      <c r="G26" s="734">
        <v>43759323.830000021</v>
      </c>
      <c r="H26" s="734">
        <f t="shared" si="3"/>
        <v>51487908.939999983</v>
      </c>
      <c r="I26" s="44">
        <f t="shared" si="4"/>
        <v>-7728585.1099999622</v>
      </c>
      <c r="J26" s="330">
        <f t="shared" si="5"/>
        <v>-0.1501048550836713</v>
      </c>
      <c r="K26" s="736">
        <f t="shared" si="6"/>
        <v>51487908.93999999</v>
      </c>
    </row>
    <row r="27" spans="1:11" ht="12.75" customHeight="1" x14ac:dyDescent="0.25">
      <c r="A27" s="86" t="s">
        <v>618</v>
      </c>
      <c r="B27" s="421"/>
      <c r="C27" s="749">
        <v>110178020</v>
      </c>
      <c r="D27" s="746">
        <v>116890701.2</v>
      </c>
      <c r="E27" s="734">
        <v>116890701.2</v>
      </c>
      <c r="F27" s="734">
        <v>6662.37</v>
      </c>
      <c r="G27" s="734">
        <v>20930220.59</v>
      </c>
      <c r="H27" s="734">
        <f t="shared" si="3"/>
        <v>116890701.20000002</v>
      </c>
      <c r="I27" s="44">
        <f t="shared" si="4"/>
        <v>-95960480.610000014</v>
      </c>
      <c r="J27" s="330">
        <f t="shared" si="5"/>
        <v>-0.82094195367869005</v>
      </c>
      <c r="K27" s="736">
        <f t="shared" si="6"/>
        <v>116890701.2</v>
      </c>
    </row>
    <row r="28" spans="1:11" ht="12.75" customHeight="1" x14ac:dyDescent="0.25">
      <c r="A28" s="86" t="s">
        <v>671</v>
      </c>
      <c r="B28" s="421"/>
      <c r="C28" s="749">
        <v>467691505</v>
      </c>
      <c r="D28" s="746">
        <v>492025080.2500006</v>
      </c>
      <c r="E28" s="734">
        <v>492071235.64999992</v>
      </c>
      <c r="F28" s="734">
        <v>-13559009.339999987</v>
      </c>
      <c r="G28" s="734">
        <v>417808444.08000022</v>
      </c>
      <c r="H28" s="734">
        <f t="shared" si="3"/>
        <v>492071235.64999992</v>
      </c>
      <c r="I28" s="44">
        <f t="shared" si="4"/>
        <v>-74262791.569999695</v>
      </c>
      <c r="J28" s="330">
        <f t="shared" si="5"/>
        <v>-0.15091878205785084</v>
      </c>
      <c r="K28" s="736">
        <f t="shared" si="6"/>
        <v>492071235.64999992</v>
      </c>
    </row>
    <row r="29" spans="1:11" ht="12.75" customHeight="1" x14ac:dyDescent="0.25">
      <c r="A29" s="86" t="s">
        <v>459</v>
      </c>
      <c r="B29" s="421"/>
      <c r="C29" s="749">
        <v>50676476</v>
      </c>
      <c r="D29" s="746">
        <v>41660099</v>
      </c>
      <c r="E29" s="734">
        <v>41660099</v>
      </c>
      <c r="F29" s="734">
        <v>3291398.47</v>
      </c>
      <c r="G29" s="734">
        <v>43716969.409999996</v>
      </c>
      <c r="H29" s="734">
        <f t="shared" si="3"/>
        <v>41660099</v>
      </c>
      <c r="I29" s="44">
        <f t="shared" si="4"/>
        <v>2056870.4099999964</v>
      </c>
      <c r="J29" s="330">
        <f t="shared" si="5"/>
        <v>4.9372672158076156E-2</v>
      </c>
      <c r="K29" s="736">
        <f t="shared" si="6"/>
        <v>41660099</v>
      </c>
    </row>
    <row r="30" spans="1:11" ht="12.75" customHeight="1" x14ac:dyDescent="0.25">
      <c r="A30" s="86" t="s">
        <v>855</v>
      </c>
      <c r="B30" s="421"/>
      <c r="C30" s="749">
        <v>2010059855</v>
      </c>
      <c r="D30" s="746">
        <v>2282599888.9785767</v>
      </c>
      <c r="E30" s="734">
        <v>2282599888.9785767</v>
      </c>
      <c r="F30" s="734">
        <v>307425551.19</v>
      </c>
      <c r="G30" s="734">
        <v>2491126596.8000002</v>
      </c>
      <c r="H30" s="734">
        <f t="shared" si="3"/>
        <v>2282599888.9785767</v>
      </c>
      <c r="I30" s="44">
        <f t="shared" si="4"/>
        <v>208526707.82142353</v>
      </c>
      <c r="J30" s="330">
        <f t="shared" si="5"/>
        <v>9.1354910174264295E-2</v>
      </c>
      <c r="K30" s="736">
        <f t="shared" si="6"/>
        <v>2282599888.9785767</v>
      </c>
    </row>
    <row r="31" spans="1:11" ht="12.75" customHeight="1" x14ac:dyDescent="0.25">
      <c r="A31" s="86" t="s">
        <v>933</v>
      </c>
      <c r="B31" s="421"/>
      <c r="C31" s="749">
        <v>59068739.030000009</v>
      </c>
      <c r="D31" s="746">
        <v>55756420.649999999</v>
      </c>
      <c r="E31" s="734">
        <v>51560937.43</v>
      </c>
      <c r="F31" s="734">
        <v>15022183.59</v>
      </c>
      <c r="G31" s="734">
        <v>59177577.360000052</v>
      </c>
      <c r="H31" s="734">
        <f t="shared" si="3"/>
        <v>51560937.430000007</v>
      </c>
      <c r="I31" s="44">
        <f t="shared" si="4"/>
        <v>7616639.9300000444</v>
      </c>
      <c r="J31" s="330">
        <f t="shared" si="5"/>
        <v>0.14772112978629456</v>
      </c>
      <c r="K31" s="736">
        <f t="shared" si="6"/>
        <v>51560937.43</v>
      </c>
    </row>
    <row r="32" spans="1:11" ht="12.75" customHeight="1" x14ac:dyDescent="0.25">
      <c r="A32" s="86" t="s">
        <v>856</v>
      </c>
      <c r="B32" s="421"/>
      <c r="C32" s="749">
        <v>671010484.44999993</v>
      </c>
      <c r="D32" s="746">
        <v>587242320.13000011</v>
      </c>
      <c r="E32" s="734">
        <v>524585180</v>
      </c>
      <c r="F32" s="734">
        <v>92617923.649999991</v>
      </c>
      <c r="G32" s="734">
        <v>475259230.79999977</v>
      </c>
      <c r="H32" s="734">
        <f t="shared" si="3"/>
        <v>524585180</v>
      </c>
      <c r="I32" s="44">
        <f t="shared" si="4"/>
        <v>-49325949.200000226</v>
      </c>
      <c r="J32" s="330">
        <f t="shared" si="5"/>
        <v>-9.4028483991866155E-2</v>
      </c>
      <c r="K32" s="736">
        <f t="shared" si="6"/>
        <v>524585180</v>
      </c>
    </row>
    <row r="33" spans="1:12" ht="12.75" customHeight="1" x14ac:dyDescent="0.25">
      <c r="A33" s="517" t="s">
        <v>1131</v>
      </c>
      <c r="B33" s="421"/>
      <c r="C33" s="749">
        <v>42492244</v>
      </c>
      <c r="D33" s="746">
        <v>46379439.519999988</v>
      </c>
      <c r="E33" s="734">
        <v>49902933.629999988</v>
      </c>
      <c r="F33" s="734">
        <v>-22725272.349999998</v>
      </c>
      <c r="G33" s="734">
        <v>25306677.319999997</v>
      </c>
      <c r="H33" s="734">
        <f t="shared" si="3"/>
        <v>49902933.629999988</v>
      </c>
      <c r="I33" s="44">
        <f t="shared" si="4"/>
        <v>-24596256.309999991</v>
      </c>
      <c r="J33" s="330">
        <f t="shared" si="5"/>
        <v>-0.49288197147619267</v>
      </c>
      <c r="K33" s="736">
        <f t="shared" si="6"/>
        <v>49902933.629999988</v>
      </c>
    </row>
    <row r="34" spans="1:12" ht="12.75" customHeight="1" x14ac:dyDescent="0.25">
      <c r="A34" s="86" t="s">
        <v>440</v>
      </c>
      <c r="B34" s="421"/>
      <c r="C34" s="749">
        <v>206293884.52000001</v>
      </c>
      <c r="D34" s="746">
        <v>198552291.56999794</v>
      </c>
      <c r="E34" s="734">
        <v>165922456.08000007</v>
      </c>
      <c r="F34" s="734">
        <v>-102935099.90999997</v>
      </c>
      <c r="G34" s="734">
        <v>220581867.58000019</v>
      </c>
      <c r="H34" s="734">
        <f t="shared" si="3"/>
        <v>165922456.08000007</v>
      </c>
      <c r="I34" s="44">
        <f t="shared" si="4"/>
        <v>54659411.500000119</v>
      </c>
      <c r="J34" s="330">
        <f t="shared" si="5"/>
        <v>0.32942744937216878</v>
      </c>
      <c r="K34" s="736">
        <f t="shared" si="6"/>
        <v>165922456.08000007</v>
      </c>
    </row>
    <row r="35" spans="1:12" ht="12.75" customHeight="1" x14ac:dyDescent="0.25">
      <c r="A35" s="39" t="s">
        <v>585</v>
      </c>
      <c r="B35" s="419"/>
      <c r="C35" s="749"/>
      <c r="D35" s="746">
        <v>43396</v>
      </c>
      <c r="E35" s="734"/>
      <c r="F35" s="734"/>
      <c r="G35" s="734"/>
      <c r="H35" s="734"/>
      <c r="I35" s="44">
        <f t="shared" si="4"/>
        <v>0</v>
      </c>
      <c r="J35" s="330" t="str">
        <f t="shared" si="5"/>
        <v/>
      </c>
      <c r="K35" s="736">
        <f t="shared" si="6"/>
        <v>0</v>
      </c>
    </row>
    <row r="36" spans="1:12" ht="12.75" customHeight="1" x14ac:dyDescent="0.25">
      <c r="A36" s="92" t="s">
        <v>495</v>
      </c>
      <c r="B36" s="422"/>
      <c r="C36" s="243">
        <f t="shared" ref="C36:K36" si="7">SUM(C25:C35)</f>
        <v>4934358439.000001</v>
      </c>
      <c r="D36" s="74">
        <f>SUM(D25:D35)</f>
        <v>5328506988.948575</v>
      </c>
      <c r="E36" s="73">
        <f>SUM(E25:E35)</f>
        <v>5232092072.6085777</v>
      </c>
      <c r="F36" s="73">
        <f t="shared" si="7"/>
        <v>361636674.53999996</v>
      </c>
      <c r="G36" s="73">
        <f t="shared" si="7"/>
        <v>5048591301.5500011</v>
      </c>
      <c r="H36" s="73">
        <f t="shared" si="7"/>
        <v>5232092072.6085777</v>
      </c>
      <c r="I36" s="73">
        <f t="shared" si="4"/>
        <v>-183500771.05857658</v>
      </c>
      <c r="J36" s="331">
        <f t="shared" si="5"/>
        <v>-3.5072160143980062E-2</v>
      </c>
      <c r="K36" s="145">
        <f t="shared" si="7"/>
        <v>5232092072.6085777</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8">C22-C36</f>
        <v>92986317.999999046</v>
      </c>
      <c r="D38" s="51">
        <f t="shared" si="8"/>
        <v>276115348.15851212</v>
      </c>
      <c r="E38" s="50">
        <f t="shared" si="8"/>
        <v>387708565.28250885</v>
      </c>
      <c r="F38" s="50">
        <f t="shared" si="8"/>
        <v>-41235757.800000012</v>
      </c>
      <c r="G38" s="50">
        <f t="shared" si="8"/>
        <v>392081678.59999847</v>
      </c>
      <c r="H38" s="50">
        <f t="shared" si="8"/>
        <v>387708565.28250885</v>
      </c>
      <c r="I38" s="102">
        <f>I22-I36</f>
        <v>4373113.317489624</v>
      </c>
      <c r="J38" s="102">
        <f t="shared" si="5"/>
        <v>1.1279382786663737E-2</v>
      </c>
      <c r="K38" s="194">
        <f>K22-K36</f>
        <v>387708565.28250885</v>
      </c>
    </row>
    <row r="39" spans="1:12" ht="19.899999999999999" customHeight="1" x14ac:dyDescent="0.25">
      <c r="A39" s="938" t="s">
        <v>1132</v>
      </c>
      <c r="B39" s="419"/>
      <c r="C39" s="749">
        <v>460142625</v>
      </c>
      <c r="D39" s="746">
        <v>439342400</v>
      </c>
      <c r="E39" s="734">
        <v>674822398</v>
      </c>
      <c r="F39" s="734">
        <v>125029871.22000001</v>
      </c>
      <c r="G39" s="734">
        <v>431537130.45999998</v>
      </c>
      <c r="H39" s="734">
        <f>E39/12*12</f>
        <v>674822398</v>
      </c>
      <c r="I39" s="47">
        <f>G39-H39</f>
        <v>-243285267.54000002</v>
      </c>
      <c r="J39" s="102">
        <f t="shared" si="5"/>
        <v>-0.36051747579961035</v>
      </c>
      <c r="K39" s="736">
        <f>E39</f>
        <v>674822398</v>
      </c>
    </row>
    <row r="40" spans="1:12" ht="39.6" customHeight="1" x14ac:dyDescent="0.25">
      <c r="A40" s="938" t="s">
        <v>1133</v>
      </c>
      <c r="B40" s="419"/>
      <c r="C40" s="749"/>
      <c r="D40" s="746"/>
      <c r="E40" s="734"/>
      <c r="F40" s="734"/>
      <c r="G40" s="734"/>
      <c r="H40" s="734"/>
      <c r="I40" s="47">
        <f>G40-H40</f>
        <v>0</v>
      </c>
      <c r="J40" s="102" t="str">
        <f t="shared" si="5"/>
        <v/>
      </c>
      <c r="K40" s="736"/>
    </row>
    <row r="41" spans="1:12" ht="12.75" customHeight="1" x14ac:dyDescent="0.25">
      <c r="A41" s="518" t="s">
        <v>1134</v>
      </c>
      <c r="B41" s="419"/>
      <c r="C41" s="750"/>
      <c r="D41" s="751"/>
      <c r="E41" s="752"/>
      <c r="F41" s="752"/>
      <c r="G41" s="752"/>
      <c r="H41" s="752"/>
      <c r="I41" s="47">
        <f>G41-H41</f>
        <v>0</v>
      </c>
      <c r="J41" s="102" t="str">
        <f t="shared" si="5"/>
        <v/>
      </c>
      <c r="K41" s="753"/>
    </row>
    <row r="42" spans="1:12" ht="25.5" x14ac:dyDescent="0.25">
      <c r="A42" s="250" t="s">
        <v>761</v>
      </c>
      <c r="B42" s="521"/>
      <c r="C42" s="252">
        <f t="shared" ref="C42:H42" si="9">C38+SUM(C39:C41)</f>
        <v>553128942.99999905</v>
      </c>
      <c r="D42" s="253">
        <f t="shared" si="9"/>
        <v>715457748.15851212</v>
      </c>
      <c r="E42" s="254">
        <f t="shared" si="9"/>
        <v>1062530963.2825089</v>
      </c>
      <c r="F42" s="254">
        <f t="shared" si="9"/>
        <v>83794113.420000002</v>
      </c>
      <c r="G42" s="254">
        <f t="shared" si="9"/>
        <v>823618809.05999851</v>
      </c>
      <c r="H42" s="254">
        <f t="shared" si="9"/>
        <v>1062530963.2825089</v>
      </c>
      <c r="I42" s="329"/>
      <c r="J42" s="329"/>
      <c r="K42" s="255">
        <f>K38+SUM(K39:K41)</f>
        <v>1062530963.2825089</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0">C42-C43</f>
        <v>553128942.99999905</v>
      </c>
      <c r="D44" s="51">
        <f t="shared" si="10"/>
        <v>715457748.15851212</v>
      </c>
      <c r="E44" s="50">
        <f t="shared" si="10"/>
        <v>1062530963.2825089</v>
      </c>
      <c r="F44" s="50">
        <f t="shared" si="10"/>
        <v>83794113.420000002</v>
      </c>
      <c r="G44" s="50">
        <f t="shared" si="10"/>
        <v>823618809.05999851</v>
      </c>
      <c r="H44" s="50">
        <f t="shared" si="10"/>
        <v>1062530963.2825089</v>
      </c>
      <c r="I44" s="327"/>
      <c r="J44" s="327"/>
      <c r="K44" s="194">
        <f>K42-K43</f>
        <v>1062530963.2825089</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1">SUM(C44:C45)</f>
        <v>553128942.99999905</v>
      </c>
      <c r="D46" s="530">
        <f t="shared" si="11"/>
        <v>715457748.15851212</v>
      </c>
      <c r="E46" s="528">
        <f t="shared" si="11"/>
        <v>1062530963.2825089</v>
      </c>
      <c r="F46" s="528">
        <f t="shared" si="11"/>
        <v>83794113.420000002</v>
      </c>
      <c r="G46" s="528">
        <f t="shared" si="11"/>
        <v>823618809.05999851</v>
      </c>
      <c r="H46" s="528">
        <f t="shared" si="11"/>
        <v>1062530963.2825089</v>
      </c>
      <c r="I46" s="273"/>
      <c r="J46" s="273"/>
      <c r="K46" s="529">
        <f>SUM(K44:K45)</f>
        <v>1062530963.2825089</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2">C46+C47</f>
        <v>553128942.99999905</v>
      </c>
      <c r="D48" s="77">
        <f t="shared" si="12"/>
        <v>715457748.15851212</v>
      </c>
      <c r="E48" s="76">
        <f t="shared" si="12"/>
        <v>1062530963.2825089</v>
      </c>
      <c r="F48" s="76">
        <f t="shared" si="12"/>
        <v>83794113.420000002</v>
      </c>
      <c r="G48" s="76">
        <f t="shared" si="12"/>
        <v>823618809.05999851</v>
      </c>
      <c r="H48" s="76">
        <f t="shared" si="12"/>
        <v>1062530963.2825089</v>
      </c>
      <c r="I48" s="334"/>
      <c r="J48" s="334"/>
      <c r="K48" s="234">
        <f>K46+K47</f>
        <v>1062530963.2825089</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3">C22+SUM(C39:C41)</f>
        <v>5487487382</v>
      </c>
      <c r="D53" s="62">
        <f t="shared" si="13"/>
        <v>6043964737.1070871</v>
      </c>
      <c r="E53" s="62">
        <f t="shared" si="13"/>
        <v>6294623035.8910866</v>
      </c>
      <c r="F53" s="62">
        <f t="shared" si="13"/>
        <v>445430787.95999998</v>
      </c>
      <c r="G53" s="62">
        <f t="shared" si="13"/>
        <v>5872210110.6099997</v>
      </c>
      <c r="H53" s="62">
        <f t="shared" si="13"/>
        <v>6294623035.8910866</v>
      </c>
      <c r="I53" s="62"/>
      <c r="J53" s="62"/>
      <c r="K53" s="62">
        <f>K22+SUM(K39:K41)</f>
        <v>6294623035.8910866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26" activePane="bottomRight" state="frozen"/>
      <selection pane="topRight"/>
      <selection pane="bottomLeft"/>
      <selection pane="bottomRight" activeCell="A77" sqref="A77:K77"/>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8" t="str">
        <f>muni&amp; " - "&amp;S71D&amp; " - "&amp;date</f>
        <v>KZN225 Msunduzi - Table C5 Consolidated Monthly Budget Statement - Capital Expenditure (municipal vote, functional classification and funding  - Q4 Fourth Quarter</v>
      </c>
      <c r="B1" s="1028"/>
      <c r="C1" s="1028"/>
      <c r="D1" s="1028"/>
      <c r="E1" s="1028"/>
      <c r="F1" s="1028"/>
      <c r="G1" s="1028"/>
      <c r="H1" s="1028"/>
      <c r="I1" s="1028"/>
      <c r="J1" s="1028"/>
      <c r="K1" s="1028"/>
    </row>
    <row r="2" spans="1:12" x14ac:dyDescent="0.25">
      <c r="A2" s="1026" t="str">
        <f>Vdesc</f>
        <v>Vote Description</v>
      </c>
      <c r="B2" s="1035" t="str">
        <f>head27</f>
        <v>Ref</v>
      </c>
      <c r="C2" s="139" t="str">
        <f>Head1</f>
        <v>2018/19</v>
      </c>
      <c r="D2" s="245" t="str">
        <f>Head2</f>
        <v>Budget Year 2019/20</v>
      </c>
      <c r="E2" s="229"/>
      <c r="F2" s="229"/>
      <c r="G2" s="229"/>
      <c r="H2" s="229"/>
      <c r="I2" s="229"/>
      <c r="J2" s="229"/>
      <c r="K2" s="230"/>
    </row>
    <row r="3" spans="1:12" ht="25.5" x14ac:dyDescent="0.25">
      <c r="A3" s="1027"/>
      <c r="B3" s="1036"/>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296719.20999999996</v>
      </c>
      <c r="G6" s="47">
        <f>'C5C'!G7</f>
        <v>296719.20999999996</v>
      </c>
      <c r="H6" s="47">
        <f>'C5C'!H7</f>
        <v>0</v>
      </c>
      <c r="I6" s="44">
        <f>G6-H6</f>
        <v>296719.20999999996</v>
      </c>
      <c r="J6" s="330" t="e">
        <f>IF(I6=0,"",I6/H6)</f>
        <v>#DIV/0!</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97000</v>
      </c>
      <c r="G7" s="408">
        <f>'C5C'!G18</f>
        <v>4652153.2299999995</v>
      </c>
      <c r="H7" s="408">
        <f>'C5C'!H18</f>
        <v>25594505.239999857</v>
      </c>
      <c r="I7" s="44">
        <f>G7-H7</f>
        <v>-20942352.009999856</v>
      </c>
      <c r="J7" s="330">
        <f>IF(I7=0,"",I7/H7)</f>
        <v>-0.81823625085241047</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4409781.8</v>
      </c>
      <c r="G8" s="408">
        <f>'C5C'!G29</f>
        <v>-921104.16000000015</v>
      </c>
      <c r="H8" s="408">
        <f>'C5C'!H29</f>
        <v>16369979.460000001</v>
      </c>
      <c r="I8" s="44">
        <f t="shared" ref="I8:I17" si="0">G8-H8</f>
        <v>-17291083.620000001</v>
      </c>
      <c r="J8" s="330">
        <f t="shared" ref="J8:J17" si="1">IF(I8=0,"",I8/H8)</f>
        <v>-1.0562678873391818</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173699</v>
      </c>
      <c r="G9" s="408">
        <f>'C5C'!G40</f>
        <v>1356930.04</v>
      </c>
      <c r="H9" s="408">
        <f>'C5C'!H40</f>
        <v>80126.62</v>
      </c>
      <c r="I9" s="44">
        <f t="shared" si="0"/>
        <v>1276803.42</v>
      </c>
      <c r="J9" s="330">
        <f t="shared" si="1"/>
        <v>15.934821910620965</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97757094.340000004</v>
      </c>
      <c r="G10" s="408">
        <f>'C5C'!G51</f>
        <v>313444374.91000003</v>
      </c>
      <c r="H10" s="408">
        <f>'C5C'!H51</f>
        <v>360728912.00000024</v>
      </c>
      <c r="I10" s="44">
        <f t="shared" si="0"/>
        <v>-47284537.090000212</v>
      </c>
      <c r="J10" s="330">
        <f t="shared" si="1"/>
        <v>-0.13108053032910261</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60790000.399999999</v>
      </c>
      <c r="E11" s="408">
        <f>'C5C'!E62</f>
        <v>40817166.699999996</v>
      </c>
      <c r="F11" s="408">
        <f>'C5C'!F62</f>
        <v>28381078.059999995</v>
      </c>
      <c r="G11" s="408">
        <f>'C5C'!G62</f>
        <v>94824783.870000005</v>
      </c>
      <c r="H11" s="408">
        <f>'C5C'!H62</f>
        <v>40817166.699999996</v>
      </c>
      <c r="I11" s="44">
        <f t="shared" si="0"/>
        <v>54007617.170000009</v>
      </c>
      <c r="J11" s="330">
        <f t="shared" si="1"/>
        <v>1.3231593845537548</v>
      </c>
      <c r="K11" s="643">
        <f>'C5C'!K62</f>
        <v>40817166.699999996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489965757.39999998</v>
      </c>
      <c r="E21" s="430">
        <f t="shared" si="2"/>
        <v>443590690.0200001</v>
      </c>
      <c r="F21" s="430">
        <f t="shared" si="2"/>
        <v>131115372.41</v>
      </c>
      <c r="G21" s="430">
        <f t="shared" si="2"/>
        <v>413653857.10000002</v>
      </c>
      <c r="H21" s="430">
        <f t="shared" si="2"/>
        <v>443590690.0200001</v>
      </c>
      <c r="I21" s="430">
        <f t="shared" si="2"/>
        <v>-29936832.920000054</v>
      </c>
      <c r="J21" s="431">
        <f>IF(I21=0,"",I21/H21)</f>
        <v>-6.7487514038336319E-2</v>
      </c>
      <c r="K21" s="513">
        <f>SUM(K6:K20)</f>
        <v>443590690.0200001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9710</v>
      </c>
      <c r="G24" s="44">
        <f>'C5C'!G176</f>
        <v>151227.54999999999</v>
      </c>
      <c r="H24" s="44">
        <f>'C5C'!H176</f>
        <v>5006330.97</v>
      </c>
      <c r="I24" s="44">
        <f>'C5C'!I176</f>
        <v>-4855103.42</v>
      </c>
      <c r="J24" s="330">
        <f>IF(I24=0,"",I24/H24)</f>
        <v>-0.96979273825357981</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156377.51999999999</v>
      </c>
      <c r="G25" s="44">
        <f>'C5C'!G187</f>
        <v>1005919.73</v>
      </c>
      <c r="H25" s="44">
        <f>'C5C'!H187</f>
        <v>7856900.21</v>
      </c>
      <c r="I25" s="44">
        <f>'C5C'!I187</f>
        <v>-6850980.4800000004</v>
      </c>
      <c r="J25" s="330">
        <f t="shared" ref="J25:J39" si="3">IF(I25=0,"",I25/H25)</f>
        <v>-0.87196989867330899</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669398.46</v>
      </c>
      <c r="G26" s="44">
        <f>'C5C'!G198</f>
        <v>1424915.8399999999</v>
      </c>
      <c r="H26" s="44">
        <f>'C5C'!H198</f>
        <v>17444846.280000001</v>
      </c>
      <c r="I26" s="44">
        <f>'C5C'!I198</f>
        <v>-16019930.440000001</v>
      </c>
      <c r="J26" s="330">
        <f t="shared" si="3"/>
        <v>-0.91831880790869314</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24433.95</v>
      </c>
      <c r="G27" s="44">
        <f>'C5C'!G209</f>
        <v>421859.79000000004</v>
      </c>
      <c r="H27" s="44">
        <f>'C5C'!H209</f>
        <v>2523165</v>
      </c>
      <c r="I27" s="44">
        <f>'C5C'!I209</f>
        <v>-2101305.21</v>
      </c>
      <c r="J27" s="330">
        <f t="shared" si="3"/>
        <v>-0.83280530999756253</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0</v>
      </c>
      <c r="G28" s="44">
        <f>'C5C'!G220</f>
        <v>2639656.16</v>
      </c>
      <c r="H28" s="44">
        <f>'C5C'!H220</f>
        <v>35915652</v>
      </c>
      <c r="I28" s="44">
        <f>'C5C'!I220</f>
        <v>-33275995.84</v>
      </c>
      <c r="J28" s="330">
        <f t="shared" si="3"/>
        <v>-0.92650401668887983</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234399552.22999999</v>
      </c>
      <c r="F29" s="44">
        <f>'C5C'!F231</f>
        <v>0</v>
      </c>
      <c r="G29" s="44">
        <f>'C5C'!G231</f>
        <v>755783.06</v>
      </c>
      <c r="H29" s="44">
        <f>'C5C'!H231</f>
        <v>234399552.22999999</v>
      </c>
      <c r="I29" s="44">
        <f>'C5C'!I231</f>
        <v>-233643769.16999999</v>
      </c>
      <c r="J29" s="330">
        <f t="shared" si="3"/>
        <v>-0.99677566337985835</v>
      </c>
      <c r="K29" s="144">
        <f>'C5C'!K231</f>
        <v>234399552.22999999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303146446.69</v>
      </c>
      <c r="F39" s="161">
        <f t="shared" si="4"/>
        <v>859919.92999999993</v>
      </c>
      <c r="G39" s="161">
        <f t="shared" si="4"/>
        <v>6399362.1300000008</v>
      </c>
      <c r="H39" s="161">
        <f t="shared" si="4"/>
        <v>303146446.69</v>
      </c>
      <c r="I39" s="73">
        <f t="shared" si="4"/>
        <v>-296747084.56</v>
      </c>
      <c r="J39" s="331">
        <f t="shared" si="3"/>
        <v>-0.97889019581171588</v>
      </c>
      <c r="K39" s="263">
        <f>SUM(K24:K38)</f>
        <v>303146446.69</v>
      </c>
      <c r="L39" s="100"/>
    </row>
    <row r="40" spans="1:12" ht="12.75" customHeight="1" x14ac:dyDescent="0.25">
      <c r="A40" s="92" t="s">
        <v>770</v>
      </c>
      <c r="B40" s="422"/>
      <c r="C40" s="243">
        <f t="shared" ref="C40:I40" si="5">C39+C21</f>
        <v>613486541</v>
      </c>
      <c r="D40" s="260">
        <f t="shared" si="5"/>
        <v>555371301.39999998</v>
      </c>
      <c r="E40" s="73">
        <f t="shared" si="5"/>
        <v>746737136.71000004</v>
      </c>
      <c r="F40" s="73">
        <f t="shared" si="5"/>
        <v>131975292.34</v>
      </c>
      <c r="G40" s="73">
        <f t="shared" si="5"/>
        <v>420053219.23000002</v>
      </c>
      <c r="H40" s="73">
        <f t="shared" si="5"/>
        <v>746737136.71000004</v>
      </c>
      <c r="I40" s="73">
        <f t="shared" si="5"/>
        <v>-326683917.48000008</v>
      </c>
      <c r="J40" s="331">
        <f>IF(I40=0,"",I40/H40)</f>
        <v>-0.43748181444318579</v>
      </c>
      <c r="K40" s="145">
        <f>K39+K21</f>
        <v>746737136.71000004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636029.02</v>
      </c>
      <c r="G43" s="638">
        <f t="shared" si="6"/>
        <v>7762898.8900000006</v>
      </c>
      <c r="H43" s="638">
        <f t="shared" si="6"/>
        <v>40960901.419999868</v>
      </c>
      <c r="I43" s="44">
        <f t="shared" ref="I43:I62" si="7">G43-H43</f>
        <v>-33198002.529999867</v>
      </c>
      <c r="J43" s="330">
        <f>IF(I43=0,"",I43/H43)</f>
        <v>-0.81048027214045559</v>
      </c>
      <c r="K43" s="642">
        <f>SUM(K44:K46)</f>
        <v>40960901.419999868</v>
      </c>
      <c r="L43" s="100"/>
    </row>
    <row r="44" spans="1:12" ht="12.75" customHeight="1" x14ac:dyDescent="0.25">
      <c r="A44" s="416" t="s">
        <v>112</v>
      </c>
      <c r="B44" s="419"/>
      <c r="C44" s="736">
        <v>3715815</v>
      </c>
      <c r="D44" s="754">
        <v>2178500</v>
      </c>
      <c r="E44" s="734">
        <v>4705618.88</v>
      </c>
      <c r="F44" s="734">
        <v>184518.55</v>
      </c>
      <c r="G44" s="734">
        <v>259948.14999999997</v>
      </c>
      <c r="H44" s="734">
        <f>E44/12*12</f>
        <v>4705618.88</v>
      </c>
      <c r="I44" s="44">
        <f t="shared" si="7"/>
        <v>-4445670.7299999995</v>
      </c>
      <c r="J44" s="330">
        <f t="shared" ref="J44:J63" si="8">IF(I44=0,"",I44/H44)</f>
        <v>-0.94475792523171775</v>
      </c>
      <c r="K44" s="736">
        <f>E44</f>
        <v>4705618.88</v>
      </c>
      <c r="L44" s="100"/>
    </row>
    <row r="45" spans="1:12" ht="12.75" customHeight="1" x14ac:dyDescent="0.25">
      <c r="A45" s="416" t="s">
        <v>1136</v>
      </c>
      <c r="B45" s="419"/>
      <c r="C45" s="755">
        <v>24297118</v>
      </c>
      <c r="D45" s="756">
        <v>48706500</v>
      </c>
      <c r="E45" s="757">
        <v>35954570.449999861</v>
      </c>
      <c r="F45" s="757">
        <v>451510.47000000003</v>
      </c>
      <c r="G45" s="757">
        <v>7436862.79</v>
      </c>
      <c r="H45" s="757">
        <f>E45/12*12</f>
        <v>35954570.449999861</v>
      </c>
      <c r="I45" s="44">
        <f t="shared" si="7"/>
        <v>-28517707.659999862</v>
      </c>
      <c r="J45" s="330">
        <f t="shared" si="8"/>
        <v>-0.79315945936992749</v>
      </c>
      <c r="K45" s="755">
        <f>E45</f>
        <v>35954570.449999861</v>
      </c>
      <c r="L45" s="100"/>
    </row>
    <row r="46" spans="1:12" ht="12.75" customHeight="1" x14ac:dyDescent="0.25">
      <c r="A46" s="416" t="s">
        <v>1147</v>
      </c>
      <c r="B46" s="419"/>
      <c r="C46" s="736">
        <v>120000</v>
      </c>
      <c r="D46" s="754">
        <v>250000</v>
      </c>
      <c r="E46" s="734">
        <v>300712.09000000003</v>
      </c>
      <c r="F46" s="734"/>
      <c r="G46" s="734">
        <v>66087.95</v>
      </c>
      <c r="H46" s="734">
        <f>E46/12*12</f>
        <v>300712.09000000003</v>
      </c>
      <c r="I46" s="44">
        <f t="shared" si="7"/>
        <v>-234624.14</v>
      </c>
      <c r="J46" s="330">
        <f t="shared" si="8"/>
        <v>-0.78022849031443997</v>
      </c>
      <c r="K46" s="736">
        <f>E46</f>
        <v>300712.09000000003</v>
      </c>
      <c r="L46" s="100"/>
    </row>
    <row r="47" spans="1:12" ht="12.75" customHeight="1" x14ac:dyDescent="0.25">
      <c r="A47" s="414" t="s">
        <v>113</v>
      </c>
      <c r="B47" s="419"/>
      <c r="C47" s="642">
        <f t="shared" ref="C47:H47" si="9">SUM(C48:C52)</f>
        <v>94239595</v>
      </c>
      <c r="D47" s="670">
        <f t="shared" si="9"/>
        <v>28965656</v>
      </c>
      <c r="E47" s="638">
        <f t="shared" si="9"/>
        <v>257187469.29000002</v>
      </c>
      <c r="F47" s="638">
        <f t="shared" si="9"/>
        <v>2745501.3200000003</v>
      </c>
      <c r="G47" s="638">
        <f t="shared" si="9"/>
        <v>66531910.49000001</v>
      </c>
      <c r="H47" s="638">
        <f t="shared" si="9"/>
        <v>257187469.29000002</v>
      </c>
      <c r="I47" s="44">
        <f t="shared" si="7"/>
        <v>-190655558.80000001</v>
      </c>
      <c r="J47" s="330">
        <f t="shared" si="8"/>
        <v>-0.74130967315915453</v>
      </c>
      <c r="K47" s="642">
        <f>SUM(K48:K52)</f>
        <v>257187469.29000002</v>
      </c>
      <c r="L47" s="100"/>
    </row>
    <row r="48" spans="1:12" ht="12.75" customHeight="1" x14ac:dyDescent="0.25">
      <c r="A48" s="416" t="s">
        <v>114</v>
      </c>
      <c r="B48" s="419"/>
      <c r="C48" s="736">
        <v>30651091</v>
      </c>
      <c r="D48" s="754">
        <v>22407256</v>
      </c>
      <c r="E48" s="734">
        <v>23977454.350000001</v>
      </c>
      <c r="F48" s="734">
        <v>1818660.94</v>
      </c>
      <c r="G48" s="734">
        <v>4544028.38</v>
      </c>
      <c r="H48" s="734">
        <f>E48/12*12</f>
        <v>23977454.350000001</v>
      </c>
      <c r="I48" s="44">
        <f t="shared" si="7"/>
        <v>-19433425.970000003</v>
      </c>
      <c r="J48" s="330">
        <f t="shared" si="8"/>
        <v>-0.81048745568772196</v>
      </c>
      <c r="K48" s="736">
        <f>E48</f>
        <v>23977454.350000001</v>
      </c>
      <c r="L48" s="100"/>
    </row>
    <row r="49" spans="1:12" ht="12.75" customHeight="1" x14ac:dyDescent="0.25">
      <c r="A49" s="416" t="s">
        <v>115</v>
      </c>
      <c r="B49" s="419"/>
      <c r="C49" s="736">
        <v>11558226</v>
      </c>
      <c r="D49" s="754">
        <v>1500000</v>
      </c>
      <c r="E49" s="734">
        <v>750949.64</v>
      </c>
      <c r="F49" s="734">
        <v>1204536.9300000002</v>
      </c>
      <c r="G49" s="734">
        <v>1714836.9300000002</v>
      </c>
      <c r="H49" s="734">
        <f>E49/12*12</f>
        <v>750949.64</v>
      </c>
      <c r="I49" s="44">
        <f t="shared" si="7"/>
        <v>963887.29000000015</v>
      </c>
      <c r="J49" s="330">
        <f t="shared" si="8"/>
        <v>1.2835578295236949</v>
      </c>
      <c r="K49" s="736">
        <f>E49</f>
        <v>750949.64</v>
      </c>
      <c r="L49" s="100"/>
    </row>
    <row r="50" spans="1:12" ht="12.75" customHeight="1" x14ac:dyDescent="0.25">
      <c r="A50" s="416" t="s">
        <v>116</v>
      </c>
      <c r="B50" s="419"/>
      <c r="C50" s="736">
        <v>2000000</v>
      </c>
      <c r="D50" s="754">
        <v>1058400</v>
      </c>
      <c r="E50" s="734">
        <v>2240805.75</v>
      </c>
      <c r="F50" s="734">
        <v>331913.71000000002</v>
      </c>
      <c r="G50" s="734">
        <v>-2143390.8900000006</v>
      </c>
      <c r="H50" s="734">
        <f>E50/12*12</f>
        <v>2240805.75</v>
      </c>
      <c r="I50" s="44">
        <f t="shared" si="7"/>
        <v>-4384196.6400000006</v>
      </c>
      <c r="J50" s="330">
        <f t="shared" si="8"/>
        <v>-1.956526860929378</v>
      </c>
      <c r="K50" s="736">
        <f>E50</f>
        <v>2240805.75</v>
      </c>
      <c r="L50" s="100"/>
    </row>
    <row r="51" spans="1:12" ht="12.75" customHeight="1" x14ac:dyDescent="0.25">
      <c r="A51" s="416" t="s">
        <v>720</v>
      </c>
      <c r="B51" s="419"/>
      <c r="C51" s="736">
        <v>50030278</v>
      </c>
      <c r="D51" s="754">
        <v>4000000</v>
      </c>
      <c r="E51" s="734">
        <v>230218259.55000001</v>
      </c>
      <c r="F51" s="734">
        <v>-609610.26</v>
      </c>
      <c r="G51" s="734">
        <v>62416436.070000008</v>
      </c>
      <c r="H51" s="734">
        <f>E51/12*12</f>
        <v>230218259.55000001</v>
      </c>
      <c r="I51" s="44">
        <f t="shared" si="7"/>
        <v>-167801823.48000002</v>
      </c>
      <c r="J51" s="330">
        <f t="shared" si="8"/>
        <v>-0.72888147016660043</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308823251</v>
      </c>
      <c r="D53" s="670">
        <f t="shared" si="10"/>
        <v>286538900.39999998</v>
      </c>
      <c r="E53" s="638">
        <f t="shared" si="10"/>
        <v>312819010.69000012</v>
      </c>
      <c r="F53" s="638">
        <f t="shared" si="10"/>
        <v>82774310.699999988</v>
      </c>
      <c r="G53" s="638">
        <f t="shared" si="10"/>
        <v>235548566.09</v>
      </c>
      <c r="H53" s="638">
        <f t="shared" si="10"/>
        <v>312819010.69000012</v>
      </c>
      <c r="I53" s="44">
        <f t="shared" si="7"/>
        <v>-77270444.600000113</v>
      </c>
      <c r="J53" s="330">
        <f t="shared" si="8"/>
        <v>-0.24701326313116628</v>
      </c>
      <c r="K53" s="642">
        <f>SUM(K54:K56)</f>
        <v>312819010.69000012</v>
      </c>
      <c r="L53" s="100"/>
    </row>
    <row r="54" spans="1:12" ht="12.75" customHeight="1" x14ac:dyDescent="0.25">
      <c r="A54" s="416" t="s">
        <v>118</v>
      </c>
      <c r="B54" s="419"/>
      <c r="C54" s="736">
        <v>35975923</v>
      </c>
      <c r="D54" s="754">
        <v>51800000.399999999</v>
      </c>
      <c r="E54" s="734">
        <v>40151253.690000005</v>
      </c>
      <c r="F54" s="734">
        <v>22695601.729999997</v>
      </c>
      <c r="G54" s="734">
        <v>24053678.879999995</v>
      </c>
      <c r="H54" s="734">
        <f>E54/12*12</f>
        <v>40151253.690000005</v>
      </c>
      <c r="I54" s="44">
        <f t="shared" si="7"/>
        <v>-16097574.81000001</v>
      </c>
      <c r="J54" s="330">
        <f t="shared" si="8"/>
        <v>-0.40092334187834444</v>
      </c>
      <c r="K54" s="736">
        <f>E54</f>
        <v>40151253.690000005</v>
      </c>
      <c r="L54" s="100"/>
    </row>
    <row r="55" spans="1:12" ht="12.75" customHeight="1" x14ac:dyDescent="0.25">
      <c r="A55" s="416" t="s">
        <v>119</v>
      </c>
      <c r="B55" s="419"/>
      <c r="C55" s="736">
        <v>271262353</v>
      </c>
      <c r="D55" s="754">
        <v>234378900</v>
      </c>
      <c r="E55" s="734">
        <v>272667757.00000012</v>
      </c>
      <c r="F55" s="734">
        <v>60078708.969999999</v>
      </c>
      <c r="G55" s="734">
        <v>211494887.21000001</v>
      </c>
      <c r="H55" s="734">
        <f>E55/12*12</f>
        <v>272667757.00000012</v>
      </c>
      <c r="I55" s="44">
        <f t="shared" si="7"/>
        <v>-61172869.790000111</v>
      </c>
      <c r="J55" s="330">
        <f t="shared" si="8"/>
        <v>-0.22434948107927585</v>
      </c>
      <c r="K55" s="736">
        <f>E55</f>
        <v>272667757.00000012</v>
      </c>
      <c r="L55" s="100"/>
    </row>
    <row r="56" spans="1:12" ht="12.75" customHeight="1" x14ac:dyDescent="0.25">
      <c r="A56" s="416" t="s">
        <v>120</v>
      </c>
      <c r="B56" s="419"/>
      <c r="C56" s="736">
        <v>1584975</v>
      </c>
      <c r="D56" s="754">
        <v>360000</v>
      </c>
      <c r="E56" s="734"/>
      <c r="F56" s="734"/>
      <c r="G56" s="734"/>
      <c r="H56" s="734"/>
      <c r="I56" s="44">
        <f t="shared" si="7"/>
        <v>0</v>
      </c>
      <c r="J56" s="330" t="str">
        <f t="shared" si="8"/>
        <v/>
      </c>
      <c r="K56" s="736"/>
      <c r="L56" s="100"/>
    </row>
    <row r="57" spans="1:12" ht="12.75" customHeight="1" x14ac:dyDescent="0.25">
      <c r="A57" s="414" t="s">
        <v>121</v>
      </c>
      <c r="B57" s="419"/>
      <c r="C57" s="642">
        <f t="shared" ref="C57:H57" si="11">SUM(C58:C61)</f>
        <v>177154337</v>
      </c>
      <c r="D57" s="670">
        <f t="shared" si="11"/>
        <v>180491745</v>
      </c>
      <c r="E57" s="638">
        <f t="shared" si="11"/>
        <v>131169354.62</v>
      </c>
      <c r="F57" s="638">
        <f t="shared" si="11"/>
        <v>39556278.420000002</v>
      </c>
      <c r="G57" s="638">
        <f t="shared" si="11"/>
        <v>101007796.78</v>
      </c>
      <c r="H57" s="638">
        <f t="shared" si="11"/>
        <v>131169354.62</v>
      </c>
      <c r="I57" s="44">
        <f t="shared" si="7"/>
        <v>-30161557.840000004</v>
      </c>
      <c r="J57" s="330">
        <f t="shared" si="8"/>
        <v>-0.22994363224076678</v>
      </c>
      <c r="K57" s="642">
        <f>SUM(K58:K61)</f>
        <v>131169354.62</v>
      </c>
      <c r="L57" s="100"/>
    </row>
    <row r="58" spans="1:12" ht="12.75" customHeight="1" x14ac:dyDescent="0.25">
      <c r="A58" s="416" t="s">
        <v>1204</v>
      </c>
      <c r="B58" s="419"/>
      <c r="C58" s="736">
        <v>56636360</v>
      </c>
      <c r="D58" s="754">
        <v>28331044</v>
      </c>
      <c r="E58" s="734">
        <v>17808538.09</v>
      </c>
      <c r="F58" s="734">
        <v>5102344.5</v>
      </c>
      <c r="G58" s="734">
        <v>14319757.969999999</v>
      </c>
      <c r="H58" s="734">
        <f>E58/12*12</f>
        <v>17808538.09</v>
      </c>
      <c r="I58" s="44">
        <f t="shared" si="7"/>
        <v>-3488780.120000001</v>
      </c>
      <c r="J58" s="330">
        <f t="shared" si="8"/>
        <v>-0.19590491383226175</v>
      </c>
      <c r="K58" s="736">
        <f>E58</f>
        <v>17808538.09</v>
      </c>
      <c r="L58" s="100"/>
    </row>
    <row r="59" spans="1:12" ht="12.75" customHeight="1" x14ac:dyDescent="0.25">
      <c r="A59" s="416" t="s">
        <v>1208</v>
      </c>
      <c r="B59" s="419"/>
      <c r="C59" s="736">
        <v>75391016</v>
      </c>
      <c r="D59" s="754">
        <v>100054457</v>
      </c>
      <c r="E59" s="734">
        <v>78088841.359999999</v>
      </c>
      <c r="F59" s="734">
        <v>22852157.490000002</v>
      </c>
      <c r="G59" s="734">
        <v>68309296.310000002</v>
      </c>
      <c r="H59" s="734">
        <f>E59/12*12</f>
        <v>78088841.359999999</v>
      </c>
      <c r="I59" s="44">
        <f t="shared" si="7"/>
        <v>-9779545.049999997</v>
      </c>
      <c r="J59" s="330">
        <f t="shared" si="8"/>
        <v>-0.12523613975670336</v>
      </c>
      <c r="K59" s="736">
        <f>E59</f>
        <v>78088841.359999999</v>
      </c>
      <c r="L59" s="100"/>
    </row>
    <row r="60" spans="1:12" ht="12.75" customHeight="1" x14ac:dyDescent="0.25">
      <c r="A60" s="416" t="s">
        <v>122</v>
      </c>
      <c r="B60" s="419"/>
      <c r="C60" s="755">
        <v>44301896</v>
      </c>
      <c r="D60" s="756">
        <v>45106244</v>
      </c>
      <c r="E60" s="757">
        <v>27987832.550000001</v>
      </c>
      <c r="F60" s="757">
        <v>9723883.3800000008</v>
      </c>
      <c r="G60" s="757">
        <v>21868494.579999998</v>
      </c>
      <c r="H60" s="757">
        <f>E60/12*12</f>
        <v>27987832.550000004</v>
      </c>
      <c r="I60" s="44">
        <f t="shared" si="7"/>
        <v>-6119337.9700000063</v>
      </c>
      <c r="J60" s="330">
        <f t="shared" si="8"/>
        <v>-0.21864279626040586</v>
      </c>
      <c r="K60" s="755">
        <f>E60</f>
        <v>27987832.550000001</v>
      </c>
      <c r="L60" s="100"/>
    </row>
    <row r="61" spans="1:12" ht="12.75" customHeight="1" x14ac:dyDescent="0.25">
      <c r="A61" s="416" t="s">
        <v>123</v>
      </c>
      <c r="B61" s="419"/>
      <c r="C61" s="736">
        <v>825065</v>
      </c>
      <c r="D61" s="754">
        <v>7000000</v>
      </c>
      <c r="E61" s="734">
        <v>7284142.6200000001</v>
      </c>
      <c r="F61" s="734">
        <v>1877893.05</v>
      </c>
      <c r="G61" s="734">
        <v>-3489752.08</v>
      </c>
      <c r="H61" s="734">
        <f>E61/12*12</f>
        <v>7284142.6200000001</v>
      </c>
      <c r="I61" s="44">
        <f t="shared" si="7"/>
        <v>-10773894.699999999</v>
      </c>
      <c r="J61" s="330">
        <f t="shared" si="8"/>
        <v>-1.4790889281077804</v>
      </c>
      <c r="K61" s="736">
        <f>E61</f>
        <v>7284142.6200000001</v>
      </c>
      <c r="L61" s="100"/>
    </row>
    <row r="62" spans="1:12" ht="12.75" customHeight="1" x14ac:dyDescent="0.25">
      <c r="A62" s="414" t="s">
        <v>727</v>
      </c>
      <c r="B62" s="419"/>
      <c r="C62" s="736">
        <v>5136425</v>
      </c>
      <c r="D62" s="754">
        <v>8240000</v>
      </c>
      <c r="E62" s="734">
        <v>4600400.6900000004</v>
      </c>
      <c r="F62" s="734">
        <v>6295086.5899999999</v>
      </c>
      <c r="G62" s="734">
        <v>9170133.2699999996</v>
      </c>
      <c r="H62" s="734">
        <f>E62/12*12</f>
        <v>4600400.6900000004</v>
      </c>
      <c r="I62" s="44">
        <f t="shared" si="7"/>
        <v>4569732.5799999991</v>
      </c>
      <c r="J62" s="330">
        <f t="shared" si="8"/>
        <v>0.9933336002521117</v>
      </c>
      <c r="K62" s="736">
        <f>E62</f>
        <v>4600400.6900000004</v>
      </c>
      <c r="L62" s="100"/>
    </row>
    <row r="63" spans="1:12" ht="12.75" customHeight="1" x14ac:dyDescent="0.25">
      <c r="A63" s="537" t="s">
        <v>1226</v>
      </c>
      <c r="B63" s="540">
        <v>3</v>
      </c>
      <c r="C63" s="541">
        <f>C43+C47+C53+C57+C62</f>
        <v>613486541</v>
      </c>
      <c r="D63" s="542">
        <f t="shared" ref="D63:I63" si="12">D43+D47+D53+D57+D62</f>
        <v>555371301.39999998</v>
      </c>
      <c r="E63" s="478">
        <f t="shared" si="12"/>
        <v>746737136.71000016</v>
      </c>
      <c r="F63" s="478">
        <f t="shared" si="12"/>
        <v>132007206.05</v>
      </c>
      <c r="G63" s="478">
        <f t="shared" si="12"/>
        <v>420021305.51999998</v>
      </c>
      <c r="H63" s="478">
        <f t="shared" si="12"/>
        <v>746737136.71000016</v>
      </c>
      <c r="I63" s="478">
        <f t="shared" si="12"/>
        <v>-326715831.19</v>
      </c>
      <c r="J63" s="543">
        <f t="shared" si="8"/>
        <v>-0.43752455198552959</v>
      </c>
      <c r="K63" s="544">
        <f>K43+K47+K53+K57+K62</f>
        <v>746737136.71000016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v>95545858.409999982</v>
      </c>
      <c r="G66" s="734">
        <v>312943688.97000003</v>
      </c>
      <c r="H66" s="734">
        <f>E66/12*12</f>
        <v>393443478</v>
      </c>
      <c r="I66" s="44">
        <f t="shared" ref="I66:I74" si="13">G66-H66</f>
        <v>-80499789.029999971</v>
      </c>
      <c r="J66" s="330">
        <f t="shared" ref="J66:J74" si="14">IF(I66=0,"",I66/H66)</f>
        <v>-0.20460318579737638</v>
      </c>
      <c r="K66" s="736">
        <f>E66</f>
        <v>393443478</v>
      </c>
      <c r="L66" s="100"/>
    </row>
    <row r="67" spans="1:12" ht="12.75" customHeight="1" x14ac:dyDescent="0.25">
      <c r="A67" s="107" t="s">
        <v>610</v>
      </c>
      <c r="B67" s="169"/>
      <c r="C67" s="749">
        <v>72548195</v>
      </c>
      <c r="D67" s="754">
        <v>9991000</v>
      </c>
      <c r="E67" s="734">
        <v>273968716</v>
      </c>
      <c r="F67" s="734">
        <v>15452890.430000022</v>
      </c>
      <c r="G67" s="734">
        <v>77285525.620000005</v>
      </c>
      <c r="H67" s="734">
        <f>E67/12*12</f>
        <v>273968716</v>
      </c>
      <c r="I67" s="44">
        <f t="shared" si="13"/>
        <v>-196683190.38</v>
      </c>
      <c r="J67" s="330">
        <f t="shared" si="14"/>
        <v>-0.71790382950146758</v>
      </c>
      <c r="K67" s="736">
        <f>E67</f>
        <v>273968716</v>
      </c>
      <c r="L67" s="100"/>
    </row>
    <row r="68" spans="1:12" ht="12.75" customHeight="1" x14ac:dyDescent="0.25">
      <c r="A68" s="107" t="s">
        <v>611</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c r="D69" s="758"/>
      <c r="E69" s="752"/>
      <c r="F69" s="752"/>
      <c r="G69" s="752"/>
      <c r="H69" s="752"/>
      <c r="I69" s="99">
        <f t="shared" si="13"/>
        <v>0</v>
      </c>
      <c r="J69" s="335" t="str">
        <f t="shared" si="14"/>
        <v/>
      </c>
      <c r="K69" s="753"/>
      <c r="L69" s="100"/>
    </row>
    <row r="70" spans="1:12" ht="12.75" customHeight="1" x14ac:dyDescent="0.25">
      <c r="A70" s="693" t="s">
        <v>972</v>
      </c>
      <c r="B70" s="169"/>
      <c r="C70" s="109">
        <f t="shared" ref="C70:H70" si="15">SUM(C66:C69)</f>
        <v>466029304</v>
      </c>
      <c r="D70" s="259">
        <f t="shared" si="15"/>
        <v>439342400</v>
      </c>
      <c r="E70" s="50">
        <f t="shared" si="15"/>
        <v>667412194</v>
      </c>
      <c r="F70" s="50">
        <f t="shared" si="15"/>
        <v>110998748.84</v>
      </c>
      <c r="G70" s="50">
        <f t="shared" si="15"/>
        <v>390229214.59000003</v>
      </c>
      <c r="H70" s="50">
        <f t="shared" si="15"/>
        <v>667412194</v>
      </c>
      <c r="I70" s="50">
        <f t="shared" si="13"/>
        <v>-277182979.40999997</v>
      </c>
      <c r="J70" s="146">
        <f t="shared" si="14"/>
        <v>-0.41531003164440228</v>
      </c>
      <c r="K70" s="50">
        <f>SUM(K66:K69)</f>
        <v>667412194</v>
      </c>
      <c r="L70" s="699"/>
    </row>
    <row r="71" spans="1:12" ht="0.95" customHeight="1" x14ac:dyDescent="0.25">
      <c r="A71" s="106"/>
      <c r="B71" s="169"/>
      <c r="C71" s="649"/>
      <c r="D71" s="671"/>
      <c r="E71" s="408"/>
      <c r="F71" s="408"/>
      <c r="G71" s="408"/>
      <c r="H71" s="408"/>
      <c r="I71" s="408"/>
      <c r="J71" s="948"/>
      <c r="K71" s="643"/>
      <c r="L71" s="100"/>
    </row>
    <row r="72" spans="1:12" ht="12.75" customHeight="1" x14ac:dyDescent="0.25">
      <c r="A72" s="106" t="s">
        <v>788</v>
      </c>
      <c r="B72" s="169">
        <v>6</v>
      </c>
      <c r="C72" s="749">
        <v>47052852</v>
      </c>
      <c r="D72" s="754">
        <v>5631044</v>
      </c>
      <c r="E72" s="734">
        <v>5631044</v>
      </c>
      <c r="F72" s="734">
        <v>1722370.13</v>
      </c>
      <c r="G72" s="734">
        <v>4229818.17</v>
      </c>
      <c r="H72" s="734">
        <f>E72/12*12</f>
        <v>5631044</v>
      </c>
      <c r="I72" s="44">
        <f t="shared" si="13"/>
        <v>-1401225.83</v>
      </c>
      <c r="J72" s="330">
        <f t="shared" si="14"/>
        <v>-0.24883943900988875</v>
      </c>
      <c r="K72" s="736">
        <f>E72</f>
        <v>5631044</v>
      </c>
      <c r="L72" s="100"/>
    </row>
    <row r="73" spans="1:12" ht="12.75" customHeight="1" x14ac:dyDescent="0.25">
      <c r="A73" s="106" t="s">
        <v>479</v>
      </c>
      <c r="B73" s="248"/>
      <c r="C73" s="750">
        <v>100404385</v>
      </c>
      <c r="D73" s="758">
        <v>110397875</v>
      </c>
      <c r="E73" s="752">
        <v>73693898.710000008</v>
      </c>
      <c r="F73" s="752">
        <v>19254173.370000001</v>
      </c>
      <c r="G73" s="752">
        <v>25594186.469999999</v>
      </c>
      <c r="H73" s="752">
        <f>E73/12*12</f>
        <v>73693898.710000008</v>
      </c>
      <c r="I73" s="99">
        <f t="shared" si="13"/>
        <v>-48099712.24000001</v>
      </c>
      <c r="J73" s="335">
        <f t="shared" si="14"/>
        <v>-0.65269599087547048</v>
      </c>
      <c r="K73" s="753">
        <f>E73</f>
        <v>73693898.710000008</v>
      </c>
      <c r="L73" s="100"/>
    </row>
    <row r="74" spans="1:12" ht="12.75" customHeight="1" x14ac:dyDescent="0.25">
      <c r="A74" s="539" t="s">
        <v>904</v>
      </c>
      <c r="B74" s="119"/>
      <c r="C74" s="244">
        <f t="shared" ref="C74:H74" si="16">+C70+C72+C73</f>
        <v>613486541</v>
      </c>
      <c r="D74" s="265">
        <f t="shared" si="16"/>
        <v>555371319</v>
      </c>
      <c r="E74" s="76">
        <f t="shared" si="16"/>
        <v>746737136.71000004</v>
      </c>
      <c r="F74" s="76">
        <f t="shared" si="16"/>
        <v>131975292.34</v>
      </c>
      <c r="G74" s="76">
        <f t="shared" si="16"/>
        <v>420053219.23000002</v>
      </c>
      <c r="H74" s="76">
        <f t="shared" si="16"/>
        <v>746737136.71000004</v>
      </c>
      <c r="I74" s="76">
        <f t="shared" si="13"/>
        <v>-326683917.48000002</v>
      </c>
      <c r="J74" s="333">
        <f t="shared" si="14"/>
        <v>-0.43748181444318568</v>
      </c>
      <c r="K74" s="234">
        <f>+K70+K72+K73</f>
        <v>746737136.71000004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8" t="s">
        <v>149</v>
      </c>
      <c r="B77" s="1038"/>
      <c r="C77" s="1038"/>
      <c r="D77" s="1038"/>
      <c r="E77" s="1038"/>
      <c r="F77" s="1038"/>
      <c r="G77" s="1038"/>
      <c r="H77" s="1038"/>
      <c r="I77" s="1038"/>
      <c r="J77" s="1038"/>
      <c r="K77" s="1038"/>
    </row>
    <row r="78" spans="1:12" ht="12" customHeight="1" x14ac:dyDescent="0.25">
      <c r="A78" s="1038" t="s">
        <v>1228</v>
      </c>
      <c r="B78" s="1038"/>
      <c r="C78" s="1038"/>
      <c r="D78" s="1038"/>
      <c r="E78" s="1038"/>
      <c r="F78" s="1038"/>
      <c r="G78" s="1038"/>
      <c r="H78" s="1038"/>
      <c r="I78" s="1038"/>
      <c r="J78" s="1038"/>
      <c r="K78" s="1038"/>
    </row>
    <row r="79" spans="1:12" ht="12" customHeight="1" x14ac:dyDescent="0.25">
      <c r="A79" s="1039" t="s">
        <v>531</v>
      </c>
      <c r="B79" s="1038"/>
      <c r="C79" s="1038"/>
      <c r="D79" s="1038"/>
      <c r="E79" s="1038"/>
      <c r="F79" s="1038"/>
      <c r="G79" s="1038"/>
      <c r="H79" s="1038"/>
      <c r="I79" s="1038"/>
      <c r="J79" s="1038"/>
      <c r="K79" s="1038"/>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17">D40-D74</f>
        <v>-17.600000023841858</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220" activePane="bottomRight" state="frozen"/>
      <selection pane="topRight"/>
      <selection pane="bottomLeft"/>
      <selection pane="bottomRight" activeCell="G232" sqref="G232"/>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8" t="str">
        <f>muni&amp; " - "&amp;S71D&amp; " - "&amp;"A"&amp; " - "&amp;date</f>
        <v>KZN225 Msunduzi - Table C5 Consolidated Monthly Budget Statement - Capital Expenditure (municipal vote, functional classification and funding  - A - Q4 Fourth Quarter</v>
      </c>
      <c r="B1" s="1028"/>
      <c r="C1" s="1028"/>
      <c r="D1" s="1028"/>
      <c r="E1" s="1028"/>
      <c r="F1" s="1028"/>
      <c r="G1" s="1028"/>
      <c r="H1" s="1028"/>
      <c r="I1" s="1028"/>
      <c r="J1" s="1028"/>
      <c r="K1" s="1028"/>
    </row>
    <row r="2" spans="1:23" ht="28.5" customHeight="1" x14ac:dyDescent="0.25">
      <c r="A2" s="435" t="str">
        <f>Vdesc</f>
        <v>Vote Description</v>
      </c>
      <c r="B2" s="436" t="str">
        <f>head27</f>
        <v>Ref</v>
      </c>
      <c r="C2" s="142"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296719.20999999996</v>
      </c>
      <c r="G7" s="441">
        <f t="shared" si="0"/>
        <v>296719.20999999996</v>
      </c>
      <c r="H7" s="443">
        <f t="shared" si="0"/>
        <v>0</v>
      </c>
      <c r="I7" s="50">
        <f t="shared" ref="I7:I70" si="1">G7-H7</f>
        <v>296719.20999999996</v>
      </c>
      <c r="J7" s="146" t="e">
        <f t="shared" ref="J7:J70" si="2">IF(I7=0,"",I7/H7)</f>
        <v>#DIV/0!</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v>174808.55</v>
      </c>
      <c r="G9" s="742">
        <v>174808.55</v>
      </c>
      <c r="H9" s="743"/>
      <c r="I9" s="44">
        <f t="shared" si="1"/>
        <v>174808.55</v>
      </c>
      <c r="J9" s="330" t="e">
        <f t="shared" si="2"/>
        <v>#DIV/0!</v>
      </c>
      <c r="K9" s="744">
        <f>E9</f>
        <v>0</v>
      </c>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v>121910.66</v>
      </c>
      <c r="G11" s="742">
        <v>121910.66</v>
      </c>
      <c r="H11" s="743"/>
      <c r="I11" s="44">
        <f t="shared" si="1"/>
        <v>121910.66</v>
      </c>
      <c r="J11" s="330" t="e">
        <f t="shared" si="2"/>
        <v>#DIV/0!</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97000</v>
      </c>
      <c r="G18" s="441">
        <f t="shared" si="3"/>
        <v>4652153.2299999995</v>
      </c>
      <c r="H18" s="443">
        <f t="shared" si="3"/>
        <v>25594505.239999857</v>
      </c>
      <c r="I18" s="44">
        <f t="shared" si="1"/>
        <v>-20942352.009999856</v>
      </c>
      <c r="J18" s="330">
        <f t="shared" si="2"/>
        <v>-0.81823625085241047</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v>4066927.78</v>
      </c>
      <c r="H19" s="743">
        <f>E19/12*12</f>
        <v>-0.45000000001164153</v>
      </c>
      <c r="I19" s="44">
        <f t="shared" si="1"/>
        <v>4066928.23</v>
      </c>
      <c r="J19" s="330">
        <f t="shared" si="2"/>
        <v>-9037618.2886550855</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v>97000</v>
      </c>
      <c r="G20" s="742">
        <v>97000</v>
      </c>
      <c r="H20" s="743">
        <f>E20/12*12</f>
        <v>25594505.689999856</v>
      </c>
      <c r="I20" s="44">
        <f t="shared" si="1"/>
        <v>-25497505.689999856</v>
      </c>
      <c r="J20" s="330">
        <f t="shared" si="2"/>
        <v>-0.99621012411121113</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v>488225.44999999995</v>
      </c>
      <c r="H23" s="743"/>
      <c r="I23" s="44">
        <f t="shared" si="1"/>
        <v>488225.44999999995</v>
      </c>
      <c r="J23" s="330" t="e">
        <f t="shared" si="2"/>
        <v>#DIV/0!</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4">SUM(C30:C39)</f>
        <v>35939310</v>
      </c>
      <c r="D29" s="444">
        <f t="shared" si="4"/>
        <v>22974656</v>
      </c>
      <c r="E29" s="441">
        <f t="shared" si="4"/>
        <v>16369979.460000001</v>
      </c>
      <c r="F29" s="443">
        <f t="shared" si="4"/>
        <v>4409781.8</v>
      </c>
      <c r="G29" s="441">
        <f t="shared" si="4"/>
        <v>-921104.16000000015</v>
      </c>
      <c r="H29" s="443">
        <f t="shared" si="4"/>
        <v>16369979.460000001</v>
      </c>
      <c r="I29" s="44">
        <f t="shared" si="1"/>
        <v>-17291083.620000001</v>
      </c>
      <c r="J29" s="330">
        <f t="shared" si="2"/>
        <v>-1.0562678873391818</v>
      </c>
      <c r="K29" s="442">
        <f t="shared" si="4"/>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E30/12*12</f>
        <v>400506.47</v>
      </c>
      <c r="I30" s="258">
        <f t="shared" si="1"/>
        <v>-400506.47</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v>300000</v>
      </c>
      <c r="G31" s="742">
        <v>-4197272.78</v>
      </c>
      <c r="H31" s="743">
        <f>E31/12*12</f>
        <v>1501899.28</v>
      </c>
      <c r="I31" s="44">
        <f t="shared" si="1"/>
        <v>-5699172.0600000005</v>
      </c>
      <c r="J31" s="330">
        <f t="shared" si="2"/>
        <v>-3.7946433132320299</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v>2231888.75</v>
      </c>
      <c r="G32" s="742">
        <v>6965920.7000000002</v>
      </c>
      <c r="H32" s="743">
        <f>E32/12*12</f>
        <v>7183431.0899999999</v>
      </c>
      <c r="I32" s="44">
        <f t="shared" si="1"/>
        <v>-217510.38999999966</v>
      </c>
      <c r="J32" s="330">
        <f t="shared" si="2"/>
        <v>-3.0279456609919212E-2</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v>1877893.05</v>
      </c>
      <c r="G33" s="742">
        <v>-3689752.08</v>
      </c>
      <c r="H33" s="743">
        <f>E33/12*12</f>
        <v>7284142.6200000001</v>
      </c>
      <c r="I33" s="44">
        <f t="shared" si="1"/>
        <v>-10973894.699999999</v>
      </c>
      <c r="J33" s="330">
        <f t="shared" si="2"/>
        <v>-1.5065458314708284</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2587789</v>
      </c>
      <c r="D40" s="444">
        <f t="shared" si="5"/>
        <v>700000</v>
      </c>
      <c r="E40" s="441">
        <f t="shared" si="5"/>
        <v>80126.62</v>
      </c>
      <c r="F40" s="443">
        <f t="shared" si="5"/>
        <v>173699</v>
      </c>
      <c r="G40" s="441">
        <f t="shared" si="5"/>
        <v>1356930.04</v>
      </c>
      <c r="H40" s="443">
        <f t="shared" si="5"/>
        <v>80126.62</v>
      </c>
      <c r="I40" s="44">
        <f t="shared" si="1"/>
        <v>1276803.42</v>
      </c>
      <c r="J40" s="330">
        <f t="shared" si="2"/>
        <v>15.934821910620965</v>
      </c>
      <c r="K40" s="442">
        <f t="shared" si="5"/>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v>-1</v>
      </c>
      <c r="G42" s="742">
        <v>1183230.04</v>
      </c>
      <c r="H42" s="743"/>
      <c r="I42" s="44">
        <f t="shared" si="1"/>
        <v>1183230.04</v>
      </c>
      <c r="J42" s="330" t="e">
        <f t="shared" si="2"/>
        <v>#DIV/0!</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v>173700</v>
      </c>
      <c r="G43" s="742">
        <v>173700</v>
      </c>
      <c r="H43" s="743"/>
      <c r="I43" s="44">
        <f t="shared" si="1"/>
        <v>173700</v>
      </c>
      <c r="J43" s="330" t="e">
        <f t="shared" si="2"/>
        <v>#DIV/0!</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E44/12*12</f>
        <v>80126.62</v>
      </c>
      <c r="I44" s="44">
        <f t="shared" si="1"/>
        <v>-80126.62</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6">SUM(D52:D61)</f>
        <v>377869601</v>
      </c>
      <c r="E51" s="441">
        <f t="shared" si="6"/>
        <v>360728912.00000024</v>
      </c>
      <c r="F51" s="443">
        <f t="shared" si="6"/>
        <v>97757094.340000004</v>
      </c>
      <c r="G51" s="441">
        <f t="shared" si="6"/>
        <v>313444374.91000003</v>
      </c>
      <c r="H51" s="443">
        <f t="shared" si="6"/>
        <v>360728912.00000024</v>
      </c>
      <c r="I51" s="44">
        <f t="shared" si="1"/>
        <v>-47284537.090000212</v>
      </c>
      <c r="J51" s="330">
        <f t="shared" si="2"/>
        <v>-0.13108053032910261</v>
      </c>
      <c r="K51" s="442">
        <f t="shared" si="6"/>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v>5102344.5</v>
      </c>
      <c r="G52" s="742">
        <v>13051556.27</v>
      </c>
      <c r="H52" s="743">
        <f>E52/12*12</f>
        <v>7776708</v>
      </c>
      <c r="I52" s="44">
        <f t="shared" si="1"/>
        <v>5274848.2699999996</v>
      </c>
      <c r="J52" s="330">
        <f t="shared" si="2"/>
        <v>0.67828807125071422</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v>60078708.969999999</v>
      </c>
      <c r="G54" s="742">
        <v>211494887.21000001</v>
      </c>
      <c r="H54" s="743">
        <f>E54/12*12</f>
        <v>255375909.00000024</v>
      </c>
      <c r="I54" s="44">
        <f t="shared" si="1"/>
        <v>-43881021.79000023</v>
      </c>
      <c r="J54" s="330">
        <f t="shared" si="2"/>
        <v>-0.17182913596599353</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v>32576040.870000001</v>
      </c>
      <c r="G55" s="742">
        <v>88897931.430000007</v>
      </c>
      <c r="H55" s="743">
        <f>E55/12*12</f>
        <v>97576295</v>
      </c>
      <c r="I55" s="44">
        <f t="shared" si="1"/>
        <v>-8678363.5699999928</v>
      </c>
      <c r="J55" s="330">
        <f t="shared" si="2"/>
        <v>-8.8939261016212925E-2</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7">SUM(D63:D72)</f>
        <v>60790000.399999999</v>
      </c>
      <c r="E62" s="441">
        <f t="shared" si="7"/>
        <v>40817166.699999996</v>
      </c>
      <c r="F62" s="443">
        <f t="shared" si="7"/>
        <v>28381078.059999995</v>
      </c>
      <c r="G62" s="441">
        <f t="shared" si="7"/>
        <v>94824783.870000005</v>
      </c>
      <c r="H62" s="443">
        <f t="shared" si="7"/>
        <v>40817166.699999996</v>
      </c>
      <c r="I62" s="44">
        <f t="shared" si="1"/>
        <v>54007617.170000009</v>
      </c>
      <c r="J62" s="330">
        <f t="shared" si="2"/>
        <v>1.3231593845537548</v>
      </c>
      <c r="K62" s="442">
        <f t="shared" si="7"/>
        <v>40817166.699999996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6540000</v>
      </c>
      <c r="E63" s="742">
        <v>3532540.43</v>
      </c>
      <c r="F63" s="743">
        <v>6295086.5899999999</v>
      </c>
      <c r="G63" s="742">
        <v>8711868.0899999999</v>
      </c>
      <c r="H63" s="743">
        <f>E63/12*12</f>
        <v>3532540.4300000006</v>
      </c>
      <c r="I63" s="44">
        <f t="shared" si="1"/>
        <v>5179327.6599999992</v>
      </c>
      <c r="J63" s="330">
        <f t="shared" si="2"/>
        <v>1.4661764706257017</v>
      </c>
      <c r="K63" s="744">
        <f>E63</f>
        <v>3532540.43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v>-609610.26</v>
      </c>
      <c r="G65" s="742">
        <v>62435932.49000001</v>
      </c>
      <c r="H65" s="743">
        <f>E65/12*12</f>
        <v>1730607</v>
      </c>
      <c r="I65" s="44">
        <f t="shared" si="1"/>
        <v>60705325.49000001</v>
      </c>
      <c r="J65" s="330">
        <f t="shared" si="2"/>
        <v>35.077475989638323</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v>22695601.729999997</v>
      </c>
      <c r="G66" s="742">
        <v>23676983.289999999</v>
      </c>
      <c r="H66" s="743">
        <f>E66/12*12</f>
        <v>35554019.269999996</v>
      </c>
      <c r="I66" s="44">
        <f t="shared" si="1"/>
        <v>-11877035.979999997</v>
      </c>
      <c r="J66" s="330">
        <f t="shared" si="2"/>
        <v>-0.33405607084264816</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143242056</v>
      </c>
      <c r="D172" s="451">
        <f t="shared" ref="D172:K172" si="22">D7+D18+D29+D40+D51+D62+D73+D84+D95+D106+D117+D128+D139+D150+D161</f>
        <v>489965757.39999998</v>
      </c>
      <c r="E172" s="448">
        <f t="shared" si="22"/>
        <v>443590690.0200001</v>
      </c>
      <c r="F172" s="450">
        <f t="shared" si="22"/>
        <v>131115372.41</v>
      </c>
      <c r="G172" s="448">
        <f t="shared" si="22"/>
        <v>413653857.10000002</v>
      </c>
      <c r="H172" s="450">
        <f t="shared" si="22"/>
        <v>443590690.0200001</v>
      </c>
      <c r="I172" s="514">
        <f t="shared" si="16"/>
        <v>-29936832.920000076</v>
      </c>
      <c r="J172" s="515">
        <f t="shared" si="17"/>
        <v>-6.7487514038336374E-2</v>
      </c>
      <c r="K172" s="449">
        <f t="shared" si="22"/>
        <v>443590690.0200001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23">SUM(C177:C186)</f>
        <v>4313936</v>
      </c>
      <c r="D176" s="471">
        <f t="shared" si="23"/>
        <v>4868500</v>
      </c>
      <c r="E176" s="468">
        <f t="shared" si="23"/>
        <v>5006330.97</v>
      </c>
      <c r="F176" s="470">
        <f t="shared" si="23"/>
        <v>9710</v>
      </c>
      <c r="G176" s="468">
        <f t="shared" si="23"/>
        <v>151227.54999999999</v>
      </c>
      <c r="H176" s="470">
        <f t="shared" si="23"/>
        <v>5006330.97</v>
      </c>
      <c r="I176" s="44">
        <f t="shared" si="16"/>
        <v>-4855103.42</v>
      </c>
      <c r="J176" s="330">
        <f t="shared" si="17"/>
        <v>-0.96979273825357981</v>
      </c>
      <c r="K176" s="469">
        <f t="shared" si="23"/>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E177/12*12</f>
        <v>125158.28</v>
      </c>
      <c r="I177" s="44">
        <f t="shared" si="16"/>
        <v>-125158.28</v>
      </c>
      <c r="J177" s="330">
        <f t="shared" si="17"/>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v>9710</v>
      </c>
      <c r="G178" s="734">
        <v>132387.75</v>
      </c>
      <c r="H178" s="747">
        <f>E178/12*12</f>
        <v>3880847.3499999996</v>
      </c>
      <c r="I178" s="44">
        <f t="shared" si="16"/>
        <v>-3748459.5999999996</v>
      </c>
      <c r="J178" s="330">
        <f t="shared" si="17"/>
        <v>-0.96588689580897846</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c r="G179" s="734">
        <v>18839.8</v>
      </c>
      <c r="H179" s="747">
        <f>E179/12*12</f>
        <v>750072.10000000009</v>
      </c>
      <c r="I179" s="44">
        <f t="shared" si="16"/>
        <v>-731232.3</v>
      </c>
      <c r="J179" s="330">
        <f t="shared" si="17"/>
        <v>-0.97488268127823974</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E180/12*12</f>
        <v>250253.24</v>
      </c>
      <c r="I180" s="44">
        <f t="shared" si="16"/>
        <v>-250253.24</v>
      </c>
      <c r="J180" s="330">
        <f t="shared" si="17"/>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24">SUM(E188:E197)</f>
        <v>7856900.21</v>
      </c>
      <c r="F187" s="443">
        <f t="shared" si="24"/>
        <v>156377.51999999999</v>
      </c>
      <c r="G187" s="441">
        <f t="shared" si="24"/>
        <v>1005919.73</v>
      </c>
      <c r="H187" s="443">
        <f t="shared" si="24"/>
        <v>7856900.21</v>
      </c>
      <c r="I187" s="44">
        <f t="shared" si="16"/>
        <v>-6850980.4800000004</v>
      </c>
      <c r="J187" s="330">
        <f t="shared" si="17"/>
        <v>-0.87196989867330899</v>
      </c>
      <c r="K187" s="442">
        <f t="shared" si="24"/>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c r="G188" s="734">
        <v>26128.48</v>
      </c>
      <c r="H188" s="747">
        <f>E188/12*12</f>
        <v>4495748.9399999995</v>
      </c>
      <c r="I188" s="44">
        <f t="shared" si="16"/>
        <v>-4469620.459999999</v>
      </c>
      <c r="J188" s="330">
        <f t="shared" si="17"/>
        <v>-0.99418818080175075</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v>156377.51999999999</v>
      </c>
      <c r="G189" s="734">
        <v>156377.51999999999</v>
      </c>
      <c r="H189" s="747">
        <f>E189/12*12</f>
        <v>375474.82</v>
      </c>
      <c r="I189" s="44">
        <f t="shared" si="16"/>
        <v>-219097.30000000002</v>
      </c>
      <c r="J189" s="330">
        <f t="shared" si="17"/>
        <v>-0.58352062063709098</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c r="G191" s="734">
        <v>798894.73</v>
      </c>
      <c r="H191" s="747">
        <f>E191/12*12</f>
        <v>1915190.1</v>
      </c>
      <c r="I191" s="44">
        <f t="shared" si="16"/>
        <v>-1116295.3700000001</v>
      </c>
      <c r="J191" s="330">
        <f t="shared" si="17"/>
        <v>-0.58286400394404714</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c r="G192" s="734">
        <v>24519</v>
      </c>
      <c r="H192" s="747">
        <f>E192/12*12</f>
        <v>1070486.3500000003</v>
      </c>
      <c r="I192" s="44">
        <f t="shared" si="16"/>
        <v>-1045967.3500000003</v>
      </c>
      <c r="J192" s="330">
        <f t="shared" si="17"/>
        <v>-0.9770954575927101</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25">SUM(C199:C208)</f>
        <v>15738155</v>
      </c>
      <c r="D198" s="444">
        <f t="shared" si="25"/>
        <v>12991000</v>
      </c>
      <c r="E198" s="441">
        <f t="shared" si="25"/>
        <v>17444846.280000001</v>
      </c>
      <c r="F198" s="443">
        <f t="shared" si="25"/>
        <v>669398.46</v>
      </c>
      <c r="G198" s="441">
        <f t="shared" si="25"/>
        <v>1424915.8399999999</v>
      </c>
      <c r="H198" s="443">
        <f t="shared" si="25"/>
        <v>17444846.280000001</v>
      </c>
      <c r="I198" s="44">
        <f t="shared" si="16"/>
        <v>-16019930.440000001</v>
      </c>
      <c r="J198" s="330">
        <f t="shared" si="17"/>
        <v>-0.91831880790869314</v>
      </c>
      <c r="K198" s="442">
        <f t="shared" si="2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v>45217.38</v>
      </c>
      <c r="H199" s="747">
        <f>E199/12*12</f>
        <v>350443.17</v>
      </c>
      <c r="I199" s="44">
        <f t="shared" si="16"/>
        <v>-305225.78999999998</v>
      </c>
      <c r="J199" s="330">
        <f t="shared" si="17"/>
        <v>-0.87097086240830435</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c r="G200" s="734"/>
      <c r="H200" s="747">
        <f>E200/12*12</f>
        <v>400506.47</v>
      </c>
      <c r="I200" s="44">
        <f t="shared" ref="I200:I263" si="26">G200-H200</f>
        <v>-400506.47</v>
      </c>
      <c r="J200" s="330">
        <f t="shared" ref="J200:J263" si="27">IF(I200=0,"",I200/H200)</f>
        <v>-1</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v>669398.46</v>
      </c>
      <c r="G201" s="384">
        <v>1179698.46</v>
      </c>
      <c r="H201" s="472">
        <f>E201/12*12</f>
        <v>16693896.640000001</v>
      </c>
      <c r="I201" s="44">
        <f t="shared" si="26"/>
        <v>-15514198.18</v>
      </c>
      <c r="J201" s="330">
        <f t="shared" si="27"/>
        <v>-0.92933354713762018</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c r="G202" s="384">
        <v>200000</v>
      </c>
      <c r="H202" s="472"/>
      <c r="I202" s="44">
        <f t="shared" si="26"/>
        <v>200000</v>
      </c>
      <c r="J202" s="330" t="e">
        <f t="shared" si="27"/>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875802</v>
      </c>
      <c r="D209" s="444">
        <f t="shared" si="28"/>
        <v>4500000</v>
      </c>
      <c r="E209" s="441">
        <f t="shared" si="28"/>
        <v>2523165</v>
      </c>
      <c r="F209" s="443">
        <f t="shared" si="28"/>
        <v>24433.95</v>
      </c>
      <c r="G209" s="441">
        <f t="shared" si="28"/>
        <v>421859.79000000004</v>
      </c>
      <c r="H209" s="443">
        <f t="shared" si="28"/>
        <v>2523165</v>
      </c>
      <c r="I209" s="44">
        <f t="shared" si="26"/>
        <v>-2101305.21</v>
      </c>
      <c r="J209" s="330">
        <f t="shared" si="27"/>
        <v>-0.83280530999756253</v>
      </c>
      <c r="K209" s="442">
        <f t="shared" si="28"/>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E210/12*12</f>
        <v>-2875</v>
      </c>
      <c r="I210" s="44">
        <f t="shared" si="26"/>
        <v>2875</v>
      </c>
      <c r="J210" s="330">
        <f t="shared" si="27"/>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v>24433.95</v>
      </c>
      <c r="G211" s="384">
        <v>421859.79000000004</v>
      </c>
      <c r="H211" s="472">
        <f>E211/12*12</f>
        <v>2049723</v>
      </c>
      <c r="I211" s="44">
        <f t="shared" si="26"/>
        <v>-1627863.21</v>
      </c>
      <c r="J211" s="330">
        <f t="shared" si="27"/>
        <v>-0.79418692672131797</v>
      </c>
      <c r="K211" s="395">
        <f t="shared" ref="K211:K214" si="29">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E212/12*12</f>
        <v>246317</v>
      </c>
      <c r="I212" s="44">
        <f t="shared" si="26"/>
        <v>-246317</v>
      </c>
      <c r="J212" s="330">
        <f t="shared" si="27"/>
        <v>-1</v>
      </c>
      <c r="K212" s="395">
        <f t="shared" si="29"/>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E213/12*12</f>
        <v>210000</v>
      </c>
      <c r="I213" s="44">
        <f t="shared" si="26"/>
        <v>-210000</v>
      </c>
      <c r="J213" s="330">
        <f t="shared" si="27"/>
        <v>-1</v>
      </c>
      <c r="K213" s="395">
        <f t="shared" si="29"/>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E214/12*12</f>
        <v>20000</v>
      </c>
      <c r="I214" s="44">
        <f t="shared" si="26"/>
        <v>-20000</v>
      </c>
      <c r="J214" s="330">
        <f t="shared" si="27"/>
        <v>-1</v>
      </c>
      <c r="K214" s="395">
        <f t="shared" si="29"/>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30">SUM(C221:C230)</f>
        <v>414791205</v>
      </c>
      <c r="D220" s="444">
        <f t="shared" si="30"/>
        <v>27501044</v>
      </c>
      <c r="E220" s="441">
        <f t="shared" si="30"/>
        <v>35915652</v>
      </c>
      <c r="F220" s="443">
        <f t="shared" si="30"/>
        <v>0</v>
      </c>
      <c r="G220" s="441">
        <f t="shared" si="30"/>
        <v>2639656.16</v>
      </c>
      <c r="H220" s="443">
        <f t="shared" si="30"/>
        <v>35915652</v>
      </c>
      <c r="I220" s="44">
        <f t="shared" si="26"/>
        <v>-33275995.84</v>
      </c>
      <c r="J220" s="330">
        <f t="shared" si="27"/>
        <v>-0.92650401668887983</v>
      </c>
      <c r="K220" s="442">
        <f t="shared" si="30"/>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1268201.7</v>
      </c>
      <c r="H221" s="472">
        <f>E221/12*12</f>
        <v>10031830.09</v>
      </c>
      <c r="I221" s="44">
        <f t="shared" si="26"/>
        <v>-8763628.3900000006</v>
      </c>
      <c r="J221" s="330">
        <f t="shared" si="27"/>
        <v>-0.8735822189348903</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E222/12*12</f>
        <v>91595</v>
      </c>
      <c r="I222" s="44">
        <f t="shared" si="26"/>
        <v>0</v>
      </c>
      <c r="J222" s="330" t="str">
        <f t="shared" si="27"/>
        <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c r="G223" s="384"/>
      <c r="H223" s="472">
        <f>E223/12*12</f>
        <v>17291848</v>
      </c>
      <c r="I223" s="44">
        <f t="shared" si="26"/>
        <v>-17291848</v>
      </c>
      <c r="J223" s="330">
        <f t="shared" si="27"/>
        <v>-1</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c r="G224" s="384">
        <v>1279859.4600000002</v>
      </c>
      <c r="H224" s="472">
        <f>E224/12*12</f>
        <v>8500378.9100000001</v>
      </c>
      <c r="I224" s="44">
        <f t="shared" si="26"/>
        <v>-7220519.4500000002</v>
      </c>
      <c r="J224" s="330">
        <f t="shared" si="27"/>
        <v>-0.84943501065648375</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31">SUM(C232:C241)</f>
        <v>17268330</v>
      </c>
      <c r="D231" s="444">
        <f t="shared" si="31"/>
        <v>3210000</v>
      </c>
      <c r="E231" s="441">
        <f t="shared" si="31"/>
        <v>234399552.22999999</v>
      </c>
      <c r="F231" s="443">
        <f t="shared" si="31"/>
        <v>0</v>
      </c>
      <c r="G231" s="441">
        <f t="shared" si="31"/>
        <v>755783.06</v>
      </c>
      <c r="H231" s="443">
        <f t="shared" si="31"/>
        <v>234399552.22999999</v>
      </c>
      <c r="I231" s="44">
        <f t="shared" si="26"/>
        <v>-233643769.16999999</v>
      </c>
      <c r="J231" s="330">
        <f t="shared" si="27"/>
        <v>-0.99677566337985835</v>
      </c>
      <c r="K231" s="442">
        <f t="shared" si="31"/>
        <v>234399552.22999999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1406260.26</v>
      </c>
      <c r="F232" s="472"/>
      <c r="G232" s="384">
        <v>490178.89</v>
      </c>
      <c r="H232" s="472">
        <f>E232/12*12</f>
        <v>1406260.26</v>
      </c>
      <c r="I232" s="44">
        <f t="shared" si="26"/>
        <v>-916081.37</v>
      </c>
      <c r="J232" s="330">
        <f t="shared" si="27"/>
        <v>-0.65143088804912963</v>
      </c>
      <c r="K232" s="395">
        <f>E232</f>
        <v>1406260.26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v>0</v>
      </c>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c r="G234" s="384"/>
      <c r="H234" s="472">
        <f>E234/12*12</f>
        <v>228237336</v>
      </c>
      <c r="I234" s="44">
        <f t="shared" si="26"/>
        <v>-228237336</v>
      </c>
      <c r="J234" s="330">
        <f t="shared" si="27"/>
        <v>-1</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c r="G235" s="384">
        <v>265604.17</v>
      </c>
      <c r="H235" s="472">
        <f>E235/12*12</f>
        <v>4755955.9699999988</v>
      </c>
      <c r="I235" s="44">
        <f t="shared" si="26"/>
        <v>-4490351.7999999989</v>
      </c>
      <c r="J235" s="330">
        <f t="shared" si="27"/>
        <v>-0.94415335808922551</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32">SUM(C243:C252)</f>
        <v>0</v>
      </c>
      <c r="D242" s="444">
        <f t="shared" si="32"/>
        <v>0</v>
      </c>
      <c r="E242" s="441">
        <f t="shared" si="32"/>
        <v>0</v>
      </c>
      <c r="F242" s="443">
        <f t="shared" si="32"/>
        <v>0</v>
      </c>
      <c r="G242" s="441">
        <f t="shared" si="32"/>
        <v>0</v>
      </c>
      <c r="H242" s="443">
        <f t="shared" si="32"/>
        <v>0</v>
      </c>
      <c r="I242" s="44">
        <f t="shared" si="26"/>
        <v>0</v>
      </c>
      <c r="J242" s="330" t="str">
        <f t="shared" si="27"/>
        <v/>
      </c>
      <c r="K242" s="442">
        <f t="shared" si="32"/>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33">SUM(C254:C263)</f>
        <v>0</v>
      </c>
      <c r="D253" s="444">
        <f t="shared" si="33"/>
        <v>0</v>
      </c>
      <c r="E253" s="441">
        <f t="shared" si="33"/>
        <v>0</v>
      </c>
      <c r="F253" s="443">
        <f t="shared" si="33"/>
        <v>0</v>
      </c>
      <c r="G253" s="441">
        <f t="shared" si="33"/>
        <v>0</v>
      </c>
      <c r="H253" s="443">
        <f t="shared" si="33"/>
        <v>0</v>
      </c>
      <c r="I253" s="44">
        <f t="shared" si="26"/>
        <v>0</v>
      </c>
      <c r="J253" s="330" t="str">
        <f t="shared" si="27"/>
        <v/>
      </c>
      <c r="K253" s="442">
        <f t="shared" si="33"/>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34">SUM(C265:C274)</f>
        <v>0</v>
      </c>
      <c r="D264" s="444">
        <f t="shared" si="34"/>
        <v>0</v>
      </c>
      <c r="E264" s="441">
        <f t="shared" si="34"/>
        <v>0</v>
      </c>
      <c r="F264" s="443">
        <f t="shared" si="34"/>
        <v>0</v>
      </c>
      <c r="G264" s="441">
        <f t="shared" si="34"/>
        <v>0</v>
      </c>
      <c r="H264" s="443">
        <f t="shared" si="34"/>
        <v>0</v>
      </c>
      <c r="I264" s="44">
        <f t="shared" ref="I264:I327" si="35">G264-H264</f>
        <v>0</v>
      </c>
      <c r="J264" s="330" t="str">
        <f t="shared" ref="J264:J327" si="36">IF(I264=0,"",I264/H264)</f>
        <v/>
      </c>
      <c r="K264" s="442">
        <f t="shared" si="34"/>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35"/>
        <v>0</v>
      </c>
      <c r="J265" s="330" t="str">
        <f t="shared" si="36"/>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35"/>
        <v>0</v>
      </c>
      <c r="J266" s="330" t="str">
        <f t="shared" si="36"/>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35"/>
        <v>0</v>
      </c>
      <c r="J267" s="330" t="str">
        <f t="shared" si="36"/>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35"/>
        <v>0</v>
      </c>
      <c r="J268" s="330" t="str">
        <f t="shared" si="36"/>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35"/>
        <v>0</v>
      </c>
      <c r="J269" s="330" t="str">
        <f t="shared" si="36"/>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35"/>
        <v>0</v>
      </c>
      <c r="J270" s="330" t="str">
        <f t="shared" si="36"/>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35"/>
        <v>0</v>
      </c>
      <c r="J271" s="330" t="str">
        <f t="shared" si="36"/>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35"/>
        <v>0</v>
      </c>
      <c r="J272" s="330" t="str">
        <f t="shared" si="36"/>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35"/>
        <v>0</v>
      </c>
      <c r="J273" s="330" t="str">
        <f t="shared" si="36"/>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35"/>
        <v>0</v>
      </c>
      <c r="J274" s="330" t="str">
        <f t="shared" si="36"/>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37">SUM(C276:C285)</f>
        <v>0</v>
      </c>
      <c r="D275" s="444">
        <f t="shared" si="37"/>
        <v>0</v>
      </c>
      <c r="E275" s="441">
        <f t="shared" si="37"/>
        <v>0</v>
      </c>
      <c r="F275" s="443">
        <f t="shared" si="37"/>
        <v>0</v>
      </c>
      <c r="G275" s="441">
        <f t="shared" si="37"/>
        <v>0</v>
      </c>
      <c r="H275" s="443">
        <f t="shared" si="37"/>
        <v>0</v>
      </c>
      <c r="I275" s="44">
        <f t="shared" si="35"/>
        <v>0</v>
      </c>
      <c r="J275" s="330" t="str">
        <f t="shared" si="36"/>
        <v/>
      </c>
      <c r="K275" s="442">
        <f t="shared" si="37"/>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35"/>
        <v>0</v>
      </c>
      <c r="J276" s="330" t="str">
        <f t="shared" si="36"/>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35"/>
        <v>0</v>
      </c>
      <c r="J277" s="330" t="str">
        <f t="shared" si="36"/>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35"/>
        <v>0</v>
      </c>
      <c r="J278" s="330" t="str">
        <f t="shared" si="36"/>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35"/>
        <v>0</v>
      </c>
      <c r="J279" s="330" t="str">
        <f t="shared" si="36"/>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35"/>
        <v>0</v>
      </c>
      <c r="J280" s="330" t="str">
        <f t="shared" si="36"/>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35"/>
        <v>0</v>
      </c>
      <c r="J281" s="330" t="str">
        <f t="shared" si="36"/>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35"/>
        <v>0</v>
      </c>
      <c r="J282" s="330" t="str">
        <f t="shared" si="36"/>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35"/>
        <v>0</v>
      </c>
      <c r="J283" s="330" t="str">
        <f t="shared" si="36"/>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35"/>
        <v>0</v>
      </c>
      <c r="J284" s="330" t="str">
        <f t="shared" si="36"/>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35"/>
        <v>0</v>
      </c>
      <c r="J285" s="330" t="str">
        <f t="shared" si="36"/>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38">SUM(C287:C296)</f>
        <v>0</v>
      </c>
      <c r="D286" s="444">
        <f t="shared" si="38"/>
        <v>0</v>
      </c>
      <c r="E286" s="441">
        <f t="shared" si="38"/>
        <v>0</v>
      </c>
      <c r="F286" s="443">
        <f t="shared" si="38"/>
        <v>0</v>
      </c>
      <c r="G286" s="441">
        <f t="shared" si="38"/>
        <v>0</v>
      </c>
      <c r="H286" s="443">
        <f t="shared" si="38"/>
        <v>0</v>
      </c>
      <c r="I286" s="44">
        <f t="shared" si="35"/>
        <v>0</v>
      </c>
      <c r="J286" s="330" t="str">
        <f t="shared" si="36"/>
        <v/>
      </c>
      <c r="K286" s="442">
        <f t="shared" si="38"/>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35"/>
        <v>0</v>
      </c>
      <c r="J287" s="330" t="str">
        <f t="shared" si="36"/>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35"/>
        <v>0</v>
      </c>
      <c r="J288" s="330" t="str">
        <f t="shared" si="36"/>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35"/>
        <v>0</v>
      </c>
      <c r="J289" s="330" t="str">
        <f t="shared" si="36"/>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35"/>
        <v>0</v>
      </c>
      <c r="J290" s="330" t="str">
        <f t="shared" si="36"/>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35"/>
        <v>0</v>
      </c>
      <c r="J291" s="330" t="str">
        <f t="shared" si="36"/>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35"/>
        <v>0</v>
      </c>
      <c r="J292" s="330" t="str">
        <f t="shared" si="36"/>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35"/>
        <v>0</v>
      </c>
      <c r="J293" s="330" t="str">
        <f t="shared" si="36"/>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35"/>
        <v>0</v>
      </c>
      <c r="J294" s="330" t="str">
        <f t="shared" si="36"/>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35"/>
        <v>0</v>
      </c>
      <c r="J295" s="330" t="str">
        <f t="shared" si="36"/>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35"/>
        <v>0</v>
      </c>
      <c r="J296" s="330" t="str">
        <f t="shared" si="36"/>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39">SUM(C298:C307)</f>
        <v>0</v>
      </c>
      <c r="D297" s="444">
        <f t="shared" si="39"/>
        <v>0</v>
      </c>
      <c r="E297" s="441">
        <f t="shared" si="39"/>
        <v>0</v>
      </c>
      <c r="F297" s="443">
        <f t="shared" si="39"/>
        <v>0</v>
      </c>
      <c r="G297" s="441">
        <f t="shared" si="39"/>
        <v>0</v>
      </c>
      <c r="H297" s="443">
        <f t="shared" si="39"/>
        <v>0</v>
      </c>
      <c r="I297" s="44">
        <f t="shared" si="35"/>
        <v>0</v>
      </c>
      <c r="J297" s="330" t="str">
        <f t="shared" si="36"/>
        <v/>
      </c>
      <c r="K297" s="442">
        <f t="shared" si="39"/>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35"/>
        <v>0</v>
      </c>
      <c r="J298" s="330" t="str">
        <f t="shared" si="36"/>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35"/>
        <v>0</v>
      </c>
      <c r="J299" s="330" t="str">
        <f t="shared" si="36"/>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35"/>
        <v>0</v>
      </c>
      <c r="J300" s="330" t="str">
        <f t="shared" si="36"/>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35"/>
        <v>0</v>
      </c>
      <c r="J301" s="330" t="str">
        <f t="shared" si="36"/>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35"/>
        <v>0</v>
      </c>
      <c r="J302" s="330" t="str">
        <f t="shared" si="36"/>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35"/>
        <v>0</v>
      </c>
      <c r="J303" s="330" t="str">
        <f t="shared" si="36"/>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35"/>
        <v>0</v>
      </c>
      <c r="J304" s="330" t="str">
        <f t="shared" si="36"/>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35"/>
        <v>0</v>
      </c>
      <c r="J305" s="330" t="str">
        <f t="shared" si="36"/>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35"/>
        <v>0</v>
      </c>
      <c r="J306" s="330" t="str">
        <f t="shared" si="36"/>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35"/>
        <v>0</v>
      </c>
      <c r="J307" s="330" t="str">
        <f t="shared" si="36"/>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40">SUM(C309:C318)</f>
        <v>0</v>
      </c>
      <c r="D308" s="444">
        <f t="shared" si="40"/>
        <v>0</v>
      </c>
      <c r="E308" s="441">
        <f t="shared" si="40"/>
        <v>0</v>
      </c>
      <c r="F308" s="443">
        <f t="shared" si="40"/>
        <v>0</v>
      </c>
      <c r="G308" s="441">
        <f t="shared" si="40"/>
        <v>0</v>
      </c>
      <c r="H308" s="443">
        <f t="shared" si="40"/>
        <v>0</v>
      </c>
      <c r="I308" s="44">
        <f t="shared" si="35"/>
        <v>0</v>
      </c>
      <c r="J308" s="330" t="str">
        <f t="shared" si="36"/>
        <v/>
      </c>
      <c r="K308" s="442">
        <f t="shared" si="40"/>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35"/>
        <v>0</v>
      </c>
      <c r="J309" s="330" t="str">
        <f t="shared" si="36"/>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35"/>
        <v>0</v>
      </c>
      <c r="J310" s="330" t="str">
        <f t="shared" si="36"/>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35"/>
        <v>0</v>
      </c>
      <c r="J311" s="330" t="str">
        <f t="shared" si="36"/>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35"/>
        <v>0</v>
      </c>
      <c r="J312" s="330" t="str">
        <f t="shared" si="36"/>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35"/>
        <v>0</v>
      </c>
      <c r="J313" s="330" t="str">
        <f t="shared" si="36"/>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35"/>
        <v>0</v>
      </c>
      <c r="J314" s="330" t="str">
        <f t="shared" si="36"/>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35"/>
        <v>0</v>
      </c>
      <c r="J315" s="330" t="str">
        <f t="shared" si="36"/>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35"/>
        <v>0</v>
      </c>
      <c r="J316" s="330" t="str">
        <f t="shared" si="36"/>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35"/>
        <v>0</v>
      </c>
      <c r="J317" s="330" t="str">
        <f t="shared" si="36"/>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35"/>
        <v>0</v>
      </c>
      <c r="J318" s="330" t="str">
        <f t="shared" si="36"/>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41">SUM(C320:C329)</f>
        <v>0</v>
      </c>
      <c r="D319" s="444">
        <f t="shared" si="41"/>
        <v>0</v>
      </c>
      <c r="E319" s="441">
        <f t="shared" si="41"/>
        <v>0</v>
      </c>
      <c r="F319" s="443">
        <f t="shared" si="41"/>
        <v>0</v>
      </c>
      <c r="G319" s="441">
        <f t="shared" si="41"/>
        <v>0</v>
      </c>
      <c r="H319" s="443">
        <f t="shared" si="41"/>
        <v>0</v>
      </c>
      <c r="I319" s="44">
        <f t="shared" si="35"/>
        <v>0</v>
      </c>
      <c r="J319" s="330" t="str">
        <f t="shared" si="36"/>
        <v/>
      </c>
      <c r="K319" s="442">
        <f t="shared" si="41"/>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35"/>
        <v>0</v>
      </c>
      <c r="J320" s="330" t="str">
        <f t="shared" si="36"/>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35"/>
        <v>0</v>
      </c>
      <c r="J321" s="330" t="str">
        <f t="shared" si="36"/>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35"/>
        <v>0</v>
      </c>
      <c r="J322" s="330" t="str">
        <f t="shared" si="36"/>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35"/>
        <v>0</v>
      </c>
      <c r="J323" s="330" t="str">
        <f t="shared" si="36"/>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35"/>
        <v>0</v>
      </c>
      <c r="J324" s="330" t="str">
        <f t="shared" si="36"/>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35"/>
        <v>0</v>
      </c>
      <c r="J325" s="330" t="str">
        <f t="shared" si="36"/>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35"/>
        <v>0</v>
      </c>
      <c r="J326" s="330" t="str">
        <f t="shared" si="36"/>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35"/>
        <v>0</v>
      </c>
      <c r="J327" s="330" t="str">
        <f t="shared" si="36"/>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42">G328-H328</f>
        <v>0</v>
      </c>
      <c r="J328" s="330" t="str">
        <f t="shared" ref="J328:J343" si="43">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42"/>
        <v>0</v>
      </c>
      <c r="J329" s="330" t="str">
        <f t="shared" si="43"/>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44">SUM(C331:C340)</f>
        <v>0</v>
      </c>
      <c r="D330" s="444">
        <f t="shared" si="44"/>
        <v>0</v>
      </c>
      <c r="E330" s="441">
        <f t="shared" si="44"/>
        <v>0</v>
      </c>
      <c r="F330" s="443">
        <f t="shared" si="44"/>
        <v>0</v>
      </c>
      <c r="G330" s="441">
        <f t="shared" si="44"/>
        <v>0</v>
      </c>
      <c r="H330" s="443">
        <f t="shared" si="44"/>
        <v>0</v>
      </c>
      <c r="I330" s="44">
        <f t="shared" si="42"/>
        <v>0</v>
      </c>
      <c r="J330" s="330" t="str">
        <f t="shared" si="43"/>
        <v/>
      </c>
      <c r="K330" s="442">
        <f t="shared" si="44"/>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42"/>
        <v>0</v>
      </c>
      <c r="J331" s="330" t="str">
        <f t="shared" si="43"/>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42"/>
        <v>0</v>
      </c>
      <c r="J332" s="330" t="str">
        <f t="shared" si="43"/>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42"/>
        <v>0</v>
      </c>
      <c r="J333" s="330" t="str">
        <f t="shared" si="43"/>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42"/>
        <v>0</v>
      </c>
      <c r="J334" s="330" t="str">
        <f t="shared" si="43"/>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42"/>
        <v>0</v>
      </c>
      <c r="J335" s="330" t="str">
        <f t="shared" si="43"/>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42"/>
        <v>0</v>
      </c>
      <c r="J336" s="330" t="str">
        <f t="shared" si="43"/>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42"/>
        <v>0</v>
      </c>
      <c r="J337" s="330" t="str">
        <f t="shared" si="43"/>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42"/>
        <v>0</v>
      </c>
      <c r="J338" s="330" t="str">
        <f t="shared" si="43"/>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42"/>
        <v>0</v>
      </c>
      <c r="J339" s="330" t="str">
        <f t="shared" si="43"/>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42"/>
        <v>0</v>
      </c>
      <c r="J340" s="330" t="str">
        <f t="shared" si="43"/>
        <v/>
      </c>
      <c r="K340" s="395"/>
      <c r="L340" s="452">
        <f t="shared" ref="L340:W340" si="45">SUM(L175:L251)</f>
        <v>0</v>
      </c>
      <c r="M340" s="453">
        <f t="shared" si="45"/>
        <v>0</v>
      </c>
      <c r="N340" s="453">
        <f t="shared" si="45"/>
        <v>0</v>
      </c>
      <c r="O340" s="453">
        <f t="shared" si="45"/>
        <v>0</v>
      </c>
      <c r="P340" s="453">
        <f t="shared" si="45"/>
        <v>0</v>
      </c>
      <c r="Q340" s="453">
        <f t="shared" si="45"/>
        <v>0</v>
      </c>
      <c r="R340" s="453">
        <f t="shared" si="45"/>
        <v>0</v>
      </c>
      <c r="S340" s="453">
        <f t="shared" si="45"/>
        <v>0</v>
      </c>
      <c r="T340" s="453">
        <f t="shared" si="45"/>
        <v>0</v>
      </c>
      <c r="U340" s="453">
        <f t="shared" si="45"/>
        <v>0</v>
      </c>
      <c r="V340" s="453">
        <f t="shared" si="45"/>
        <v>0</v>
      </c>
      <c r="W340" s="453">
        <f t="shared" si="45"/>
        <v>0</v>
      </c>
    </row>
    <row r="341" spans="1:24" ht="12.75" customHeight="1" x14ac:dyDescent="0.25">
      <c r="A341" s="712" t="s">
        <v>808</v>
      </c>
      <c r="B341" s="713"/>
      <c r="C341" s="508">
        <f>C176+C187+C198+C209+C220+C231+C242+C253+C264+C286+C297+C308+C319+C330+C275</f>
        <v>470244485</v>
      </c>
      <c r="D341" s="475">
        <f t="shared" ref="D341:K341" si="46">D176+D187+D198+D209+D220+D231+D242+D253+D264+D286+D297+D308+D319+D330+D275</f>
        <v>65405544</v>
      </c>
      <c r="E341" s="430">
        <f t="shared" si="46"/>
        <v>303146446.69</v>
      </c>
      <c r="F341" s="474">
        <f t="shared" si="46"/>
        <v>859919.92999999993</v>
      </c>
      <c r="G341" s="430">
        <f t="shared" si="46"/>
        <v>6399362.1300000008</v>
      </c>
      <c r="H341" s="474">
        <f t="shared" si="46"/>
        <v>303146446.69</v>
      </c>
      <c r="I341" s="430">
        <f t="shared" si="42"/>
        <v>-296747084.56</v>
      </c>
      <c r="J341" s="430">
        <f t="shared" si="43"/>
        <v>-0.97889019581171588</v>
      </c>
      <c r="K341" s="513">
        <f t="shared" si="46"/>
        <v>303146446.69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2"/>
        <v>0</v>
      </c>
      <c r="J342" s="50" t="str">
        <f t="shared" si="43"/>
        <v/>
      </c>
      <c r="K342" s="194"/>
      <c r="L342" s="480">
        <f t="shared" ref="L342:W342" si="47">L171-L340</f>
        <v>0</v>
      </c>
      <c r="M342" s="481">
        <f t="shared" si="47"/>
        <v>0</v>
      </c>
      <c r="N342" s="481">
        <f t="shared" si="47"/>
        <v>0</v>
      </c>
      <c r="O342" s="481">
        <f t="shared" si="47"/>
        <v>0</v>
      </c>
      <c r="P342" s="481">
        <f t="shared" si="47"/>
        <v>0</v>
      </c>
      <c r="Q342" s="481">
        <f t="shared" si="47"/>
        <v>0</v>
      </c>
      <c r="R342" s="481">
        <f t="shared" si="47"/>
        <v>0</v>
      </c>
      <c r="S342" s="481">
        <f t="shared" si="47"/>
        <v>0</v>
      </c>
      <c r="T342" s="481">
        <f t="shared" si="47"/>
        <v>0</v>
      </c>
      <c r="U342" s="481">
        <f t="shared" si="47"/>
        <v>0</v>
      </c>
      <c r="V342" s="481">
        <f t="shared" si="47"/>
        <v>0</v>
      </c>
      <c r="W342" s="481">
        <f t="shared" si="47"/>
        <v>0</v>
      </c>
    </row>
    <row r="343" spans="1:24" s="486" customFormat="1" ht="13.5" customHeight="1" thickTop="1" x14ac:dyDescent="0.25">
      <c r="A343" s="53" t="s">
        <v>770</v>
      </c>
      <c r="B343" s="477"/>
      <c r="C343" s="509">
        <f>C172+C341</f>
        <v>613486541</v>
      </c>
      <c r="D343" s="512">
        <f t="shared" ref="D343:K343" si="48">D172+D341</f>
        <v>555371301.39999998</v>
      </c>
      <c r="E343" s="55">
        <f t="shared" si="48"/>
        <v>746737136.71000004</v>
      </c>
      <c r="F343" s="479">
        <f t="shared" si="48"/>
        <v>131975292.34</v>
      </c>
      <c r="G343" s="55">
        <f t="shared" si="48"/>
        <v>420053219.23000002</v>
      </c>
      <c r="H343" s="479">
        <f t="shared" si="48"/>
        <v>746737136.71000004</v>
      </c>
      <c r="I343" s="55">
        <f t="shared" si="42"/>
        <v>-326683917.48000002</v>
      </c>
      <c r="J343" s="55">
        <f t="shared" si="43"/>
        <v>-0.43748181444318568</v>
      </c>
      <c r="K343" s="235">
        <f t="shared" si="48"/>
        <v>746737136.71000004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35" activePane="bottomRight" state="frozen"/>
      <selection pane="topRight"/>
      <selection pane="bottomLeft"/>
      <selection pane="bottomRight" activeCell="K35" sqref="K35"/>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1" t="str">
        <f>muni&amp; " - "&amp;S71E&amp; " - "&amp;date</f>
        <v>KZN225 Msunduzi - Table C6 Consolidated Monthly Budget Statement - Financial Position  - Q4 Fourth Quarter</v>
      </c>
      <c r="B1" s="1041"/>
      <c r="C1" s="1041"/>
      <c r="D1" s="1041"/>
      <c r="E1" s="1041"/>
      <c r="F1" s="1041"/>
      <c r="G1" s="1041"/>
    </row>
    <row r="2" spans="1:8" x14ac:dyDescent="0.25">
      <c r="A2" s="1026" t="str">
        <f>desc</f>
        <v>Description</v>
      </c>
      <c r="B2" s="1019" t="str">
        <f>head27</f>
        <v>Ref</v>
      </c>
      <c r="C2" s="140" t="str">
        <f>Head1</f>
        <v>2018/19</v>
      </c>
      <c r="D2" s="245" t="str">
        <f>Head2</f>
        <v>Budget Year 2019/20</v>
      </c>
      <c r="E2" s="229"/>
      <c r="F2" s="229"/>
      <c r="G2" s="230"/>
    </row>
    <row r="3" spans="1:8" ht="25.5" x14ac:dyDescent="0.25">
      <c r="A3" s="1027"/>
      <c r="B3" s="1030"/>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34232156.149999991</v>
      </c>
      <c r="G7" s="736">
        <f>E7</f>
        <v>100000000</v>
      </c>
    </row>
    <row r="8" spans="1:8" ht="12.75" customHeight="1" x14ac:dyDescent="0.25">
      <c r="A8" s="39" t="s">
        <v>597</v>
      </c>
      <c r="B8" s="169"/>
      <c r="C8" s="749">
        <v>15674518</v>
      </c>
      <c r="D8" s="754">
        <v>399740557.059053</v>
      </c>
      <c r="E8" s="734">
        <v>399887053.77905297</v>
      </c>
      <c r="F8" s="734">
        <v>436211961.25999993</v>
      </c>
      <c r="G8" s="736">
        <f t="shared" ref="G8:G12" si="0">E8</f>
        <v>399887053.77905297</v>
      </c>
    </row>
    <row r="9" spans="1:8" ht="12.75" customHeight="1" x14ac:dyDescent="0.25">
      <c r="A9" s="39" t="s">
        <v>595</v>
      </c>
      <c r="B9" s="169"/>
      <c r="C9" s="749">
        <v>454837531</v>
      </c>
      <c r="D9" s="754">
        <v>835519383.00000072</v>
      </c>
      <c r="E9" s="734">
        <v>835519382.86000061</v>
      </c>
      <c r="F9" s="734">
        <v>2003214649.1800008</v>
      </c>
      <c r="G9" s="736">
        <f t="shared" si="0"/>
        <v>835519382.86000061</v>
      </c>
    </row>
    <row r="10" spans="1:8" ht="12.75" customHeight="1" x14ac:dyDescent="0.25">
      <c r="A10" s="39" t="s">
        <v>596</v>
      </c>
      <c r="B10" s="169"/>
      <c r="C10" s="749">
        <v>7571464</v>
      </c>
      <c r="D10" s="754">
        <v>66723549.673443146</v>
      </c>
      <c r="E10" s="734">
        <v>66723549.673443146</v>
      </c>
      <c r="F10" s="734">
        <v>4536149.7699999958</v>
      </c>
      <c r="G10" s="736">
        <f t="shared" si="0"/>
        <v>66723549.673443146</v>
      </c>
    </row>
    <row r="11" spans="1:8" ht="12.75" customHeight="1" x14ac:dyDescent="0.25">
      <c r="A11" s="39" t="s">
        <v>795</v>
      </c>
      <c r="B11" s="169"/>
      <c r="C11" s="749"/>
      <c r="D11" s="754"/>
      <c r="E11" s="734">
        <v>0</v>
      </c>
      <c r="F11" s="734"/>
      <c r="G11" s="736"/>
    </row>
    <row r="12" spans="1:8" ht="12.75" customHeight="1" x14ac:dyDescent="0.25">
      <c r="A12" s="39" t="s">
        <v>594</v>
      </c>
      <c r="B12" s="169"/>
      <c r="C12" s="749">
        <v>329159386</v>
      </c>
      <c r="D12" s="754">
        <v>35380271.679769933</v>
      </c>
      <c r="E12" s="734">
        <v>35380271.679769933</v>
      </c>
      <c r="F12" s="734">
        <v>338132918.57000005</v>
      </c>
      <c r="G12" s="736">
        <f t="shared" si="0"/>
        <v>35380271.679769933</v>
      </c>
    </row>
    <row r="13" spans="1:8" ht="12.75" customHeight="1" x14ac:dyDescent="0.25">
      <c r="A13" s="92" t="s">
        <v>639</v>
      </c>
      <c r="B13" s="233"/>
      <c r="C13" s="243">
        <f>SUM(C7:C12)</f>
        <v>1115445477</v>
      </c>
      <c r="D13" s="260">
        <f>SUM(D7:D12)</f>
        <v>1437363761.4122667</v>
      </c>
      <c r="E13" s="73">
        <f>SUM(E7:E12)</f>
        <v>1437510257.9922667</v>
      </c>
      <c r="F13" s="73">
        <f>SUM(F7:F12)</f>
        <v>2816327834.9300008</v>
      </c>
      <c r="G13" s="145">
        <f>SUM(G7:G12)</f>
        <v>1437510257.9922667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745835501.97000003</v>
      </c>
      <c r="G18" s="736">
        <f t="shared" ref="G18" si="1">E18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7060705531.7600136</v>
      </c>
      <c r="F20" s="734">
        <v>7229610531.8300028</v>
      </c>
      <c r="G20" s="736">
        <f t="shared" ref="G20" si="2">E20</f>
        <v>7060705531.7600136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1070250</v>
      </c>
      <c r="G22" s="736"/>
      <c r="H22" s="39"/>
    </row>
    <row r="23" spans="1:8" ht="12.75" customHeight="1" x14ac:dyDescent="0.25">
      <c r="A23" s="39" t="s">
        <v>1347</v>
      </c>
      <c r="B23" s="169"/>
      <c r="C23" s="749">
        <v>41057963</v>
      </c>
      <c r="D23" s="754">
        <v>146779813.5196</v>
      </c>
      <c r="E23" s="734">
        <v>146779813.5196</v>
      </c>
      <c r="F23" s="734">
        <v>30603465.520000011</v>
      </c>
      <c r="G23" s="736">
        <f t="shared" ref="G23" si="3">E23</f>
        <v>146779813.5196</v>
      </c>
      <c r="H23" s="39"/>
    </row>
    <row r="24" spans="1:8" ht="12.75" customHeight="1" x14ac:dyDescent="0.25">
      <c r="A24" s="39" t="s">
        <v>804</v>
      </c>
      <c r="B24" s="169"/>
      <c r="C24" s="749">
        <v>353322432</v>
      </c>
      <c r="D24" s="754"/>
      <c r="E24" s="734"/>
      <c r="F24" s="734">
        <v>83200000</v>
      </c>
      <c r="G24" s="736"/>
      <c r="H24" s="39"/>
    </row>
    <row r="25" spans="1:8" ht="12.75" customHeight="1" x14ac:dyDescent="0.25">
      <c r="A25" s="92" t="s">
        <v>638</v>
      </c>
      <c r="B25" s="233"/>
      <c r="C25" s="243">
        <f>SUM(C16:C20)+SUM(C22:C24)</f>
        <v>8217504095</v>
      </c>
      <c r="D25" s="260">
        <f>SUM(D16:D20)+SUM(D22:D24)</f>
        <v>8039624767.2796135</v>
      </c>
      <c r="E25" s="73">
        <f>SUM(E16:E20)+SUM(E22:E24)</f>
        <v>7945534905.2796135</v>
      </c>
      <c r="F25" s="73">
        <f>SUM(F16:F20)+SUM(F22:F24)</f>
        <v>8090319749.3200035</v>
      </c>
      <c r="G25" s="145">
        <f>SUM(G16:G20)+SUM(G22:G24)</f>
        <v>7945534905.2796135</v>
      </c>
      <c r="H25" s="39"/>
    </row>
    <row r="26" spans="1:8" ht="12.75" customHeight="1" x14ac:dyDescent="0.25">
      <c r="A26" s="92" t="s">
        <v>787</v>
      </c>
      <c r="B26" s="233"/>
      <c r="C26" s="243">
        <f>C13+C25</f>
        <v>9332949572</v>
      </c>
      <c r="D26" s="260">
        <f>D13+D25</f>
        <v>9476988528.6918793</v>
      </c>
      <c r="E26" s="73">
        <f>E13+E25</f>
        <v>9383045163.2718811</v>
      </c>
      <c r="F26" s="73">
        <f>F13+F25</f>
        <v>10906647584.250004</v>
      </c>
      <c r="G26" s="145">
        <f>G13+G25</f>
        <v>9383045163.2718811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113418257.92</v>
      </c>
      <c r="G31" s="736">
        <f t="shared" ref="G31:G34" si="4">E31</f>
        <v>79056107.293471098</v>
      </c>
    </row>
    <row r="32" spans="1:8" ht="12.75" customHeight="1" x14ac:dyDescent="0.25">
      <c r="A32" s="39" t="s">
        <v>590</v>
      </c>
      <c r="B32" s="169"/>
      <c r="C32" s="749">
        <v>107229302</v>
      </c>
      <c r="D32" s="754">
        <v>108899457.76398766</v>
      </c>
      <c r="E32" s="734">
        <v>108899457.76398766</v>
      </c>
      <c r="F32" s="734">
        <v>113838915.45</v>
      </c>
      <c r="G32" s="736">
        <f t="shared" si="4"/>
        <v>108899457.76398766</v>
      </c>
    </row>
    <row r="33" spans="1:7" ht="12.75" customHeight="1" x14ac:dyDescent="0.25">
      <c r="A33" s="39" t="s">
        <v>796</v>
      </c>
      <c r="B33" s="169"/>
      <c r="C33" s="749">
        <v>1080435698</v>
      </c>
      <c r="D33" s="754">
        <v>999062751.05699301</v>
      </c>
      <c r="E33" s="734">
        <v>999062751.05699301</v>
      </c>
      <c r="F33" s="734">
        <v>1389271452.01</v>
      </c>
      <c r="G33" s="736">
        <f t="shared" si="4"/>
        <v>999062751.05699301</v>
      </c>
    </row>
    <row r="34" spans="1:7" ht="12.75" customHeight="1" x14ac:dyDescent="0.25">
      <c r="A34" s="39" t="s">
        <v>553</v>
      </c>
      <c r="B34" s="169"/>
      <c r="C34" s="749">
        <v>171415106</v>
      </c>
      <c r="D34" s="754">
        <v>133712201.7</v>
      </c>
      <c r="E34" s="734">
        <v>133712201.7</v>
      </c>
      <c r="F34" s="734">
        <v>226531653.01000002</v>
      </c>
      <c r="G34" s="736">
        <f t="shared" si="4"/>
        <v>133712201.7</v>
      </c>
    </row>
    <row r="35" spans="1:7" ht="12.75" customHeight="1" x14ac:dyDescent="0.25">
      <c r="A35" s="92" t="s">
        <v>466</v>
      </c>
      <c r="B35" s="233"/>
      <c r="C35" s="243">
        <f>SUM(C30:C34)</f>
        <v>1473390857</v>
      </c>
      <c r="D35" s="260">
        <f>SUM(D30:D34)</f>
        <v>1320730517.8144519</v>
      </c>
      <c r="E35" s="73">
        <f>SUM(E30:E34)</f>
        <v>1320730517.8144519</v>
      </c>
      <c r="F35" s="73">
        <f>SUM(F30:F34)</f>
        <v>1843060278.3900001</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285317995.64999998</v>
      </c>
      <c r="G38" s="736">
        <f t="shared" ref="G38:G39" si="5">E38</f>
        <v>459547129.38665301</v>
      </c>
    </row>
    <row r="39" spans="1:7" ht="12.75" customHeight="1" x14ac:dyDescent="0.25">
      <c r="A39" s="39" t="s">
        <v>553</v>
      </c>
      <c r="B39" s="169"/>
      <c r="C39" s="749">
        <v>624742898</v>
      </c>
      <c r="D39" s="754">
        <v>742916894.43171203</v>
      </c>
      <c r="E39" s="734">
        <v>742916894.43171203</v>
      </c>
      <c r="F39" s="734">
        <v>570474384.63999999</v>
      </c>
      <c r="G39" s="736">
        <f t="shared" si="5"/>
        <v>742916894.43171203</v>
      </c>
    </row>
    <row r="40" spans="1:7" ht="12.75" customHeight="1" x14ac:dyDescent="0.25">
      <c r="A40" s="92" t="s">
        <v>465</v>
      </c>
      <c r="B40" s="233"/>
      <c r="C40" s="243">
        <f>SUM(C38:C39)</f>
        <v>991034435</v>
      </c>
      <c r="D40" s="260">
        <f>SUM(D38:D39)</f>
        <v>1202464023.8183651</v>
      </c>
      <c r="E40" s="73">
        <f>SUM(E38:E39)</f>
        <v>1202464023.8183651</v>
      </c>
      <c r="F40" s="73">
        <f>SUM(F38:F39)</f>
        <v>855792380.28999996</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2698852658.6800003</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6953793987.059062</v>
      </c>
      <c r="E43" s="76">
        <f>E26-E41</f>
        <v>6859850621.6390638</v>
      </c>
      <c r="F43" s="76">
        <f>F26-F41</f>
        <v>8207794925.5700035</v>
      </c>
      <c r="G43" s="234">
        <f>G26-G41</f>
        <v>6859850621.6390638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6717549721.059062</v>
      </c>
      <c r="E46" s="734">
        <v>6717776217.7790632</v>
      </c>
      <c r="F46" s="734">
        <v>7989546628.5499897</v>
      </c>
      <c r="G46" s="736">
        <f t="shared" ref="G46:G47" si="6">E46</f>
        <v>6717776217.7790632</v>
      </c>
    </row>
    <row r="47" spans="1:7" ht="12.75" customHeight="1" x14ac:dyDescent="0.25">
      <c r="A47" s="39" t="s">
        <v>914</v>
      </c>
      <c r="B47" s="169"/>
      <c r="C47" s="749">
        <v>228913258</v>
      </c>
      <c r="D47" s="754">
        <v>236244266</v>
      </c>
      <c r="E47" s="734">
        <v>142074403.86000061</v>
      </c>
      <c r="F47" s="734">
        <v>218248297.02001527</v>
      </c>
      <c r="G47" s="736">
        <f t="shared" si="6"/>
        <v>142074403.86000061</v>
      </c>
    </row>
    <row r="48" spans="1:7" ht="12.75" customHeight="1" x14ac:dyDescent="0.25">
      <c r="A48" s="53" t="s">
        <v>633</v>
      </c>
      <c r="B48" s="236">
        <v>2</v>
      </c>
      <c r="C48" s="112">
        <f>SUM(C46:C47)</f>
        <v>6868524280</v>
      </c>
      <c r="D48" s="271">
        <f>SUM(D46:D47)</f>
        <v>6953793987.059062</v>
      </c>
      <c r="E48" s="55">
        <f>SUM(E46:E47)</f>
        <v>6859850621.6390638</v>
      </c>
      <c r="F48" s="55">
        <f>SUM(F46:F47)</f>
        <v>8207794925.5700054</v>
      </c>
      <c r="G48" s="235">
        <f>SUM(G46:G47)</f>
        <v>6859850621.6390638</v>
      </c>
    </row>
    <row r="49" spans="1:7" ht="12.75" customHeight="1" x14ac:dyDescent="0.25">
      <c r="A49" s="78" t="str">
        <f>head27a</f>
        <v>References</v>
      </c>
      <c r="B49" s="58"/>
      <c r="C49" s="49"/>
      <c r="D49" s="49"/>
      <c r="E49" s="49"/>
      <c r="F49" s="49"/>
      <c r="G49" s="49"/>
    </row>
    <row r="50" spans="1:7" ht="13.5" customHeight="1" x14ac:dyDescent="0.25">
      <c r="A50" s="1040" t="s">
        <v>151</v>
      </c>
      <c r="B50" s="1040"/>
      <c r="C50" s="1040"/>
      <c r="D50" s="1040"/>
      <c r="E50" s="1040"/>
      <c r="F50" s="1040"/>
      <c r="G50" s="1040"/>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23" activePane="bottomRight" state="frozen"/>
      <selection pane="topRight"/>
      <selection pane="bottomLeft"/>
      <selection pane="bottomRight" activeCell="M39" sqref="M39"/>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"&amp;S71F&amp; " - "&amp;date</f>
        <v>KZN225 Msunduzi - Table C7 Consolidated Monthly Budget Statement - Cash Flow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960617230.76800001</v>
      </c>
      <c r="F7" s="734"/>
      <c r="G7" s="734"/>
      <c r="H7" s="734">
        <f t="shared" ref="H7:H12" si="0">E7/12*12</f>
        <v>960617230.76800013</v>
      </c>
      <c r="I7" s="44">
        <f t="shared" ref="I7:I13" si="1">G7-H7</f>
        <v>-960617230.76800013</v>
      </c>
      <c r="J7" s="330">
        <f>IF(I7=0,"",I7/H7)</f>
        <v>-1</v>
      </c>
      <c r="K7" s="736">
        <f t="shared" ref="K7:K12" si="2">E7</f>
        <v>960617230.76800001</v>
      </c>
    </row>
    <row r="8" spans="1:11" ht="12.75" customHeight="1" x14ac:dyDescent="0.25">
      <c r="A8" s="518" t="s">
        <v>975</v>
      </c>
      <c r="B8" s="169"/>
      <c r="C8" s="749"/>
      <c r="D8" s="746">
        <v>2670162384.9896717</v>
      </c>
      <c r="E8" s="734">
        <v>2673903086.82584</v>
      </c>
      <c r="F8" s="734"/>
      <c r="G8" s="734"/>
      <c r="H8" s="734">
        <f t="shared" si="0"/>
        <v>2673903086.82584</v>
      </c>
      <c r="I8" s="44">
        <f t="shared" si="1"/>
        <v>-2673903086.82584</v>
      </c>
      <c r="J8" s="330">
        <f>IF(I8=0,"",I8/H8)</f>
        <v>-1</v>
      </c>
      <c r="K8" s="736">
        <f t="shared" si="2"/>
        <v>2673903086.82584</v>
      </c>
    </row>
    <row r="9" spans="1:11" ht="12.75" customHeight="1" x14ac:dyDescent="0.25">
      <c r="A9" s="518" t="s">
        <v>460</v>
      </c>
      <c r="B9" s="169"/>
      <c r="C9" s="749"/>
      <c r="D9" s="746">
        <v>148876026.28400001</v>
      </c>
      <c r="E9" s="734">
        <v>148876026.28400001</v>
      </c>
      <c r="F9" s="734"/>
      <c r="G9" s="734"/>
      <c r="H9" s="734">
        <f t="shared" si="0"/>
        <v>148876026.28400001</v>
      </c>
      <c r="I9" s="44">
        <f t="shared" si="1"/>
        <v>-148876026.28400001</v>
      </c>
      <c r="J9" s="330">
        <f>IF(I9=0,"",I9/H9)</f>
        <v>-1</v>
      </c>
      <c r="K9" s="736">
        <f t="shared" si="2"/>
        <v>148876026.28400001</v>
      </c>
    </row>
    <row r="10" spans="1:11" ht="12.75" customHeight="1" x14ac:dyDescent="0.25">
      <c r="A10" s="86" t="s">
        <v>703</v>
      </c>
      <c r="B10" s="171"/>
      <c r="C10" s="749"/>
      <c r="D10" s="746">
        <v>672022829</v>
      </c>
      <c r="E10" s="734">
        <v>681050778</v>
      </c>
      <c r="F10" s="734"/>
      <c r="G10" s="734"/>
      <c r="H10" s="734">
        <f t="shared" si="0"/>
        <v>681050778</v>
      </c>
      <c r="I10" s="44">
        <f t="shared" si="1"/>
        <v>-681050778</v>
      </c>
      <c r="J10" s="330">
        <f>IF(I10=0,"",I10/H10)</f>
        <v>-1</v>
      </c>
      <c r="K10" s="736">
        <f t="shared" si="2"/>
        <v>681050778</v>
      </c>
    </row>
    <row r="11" spans="1:11" ht="12.75" customHeight="1" x14ac:dyDescent="0.25">
      <c r="A11" s="86" t="s">
        <v>704</v>
      </c>
      <c r="B11" s="171"/>
      <c r="C11" s="749"/>
      <c r="D11" s="746">
        <v>439342400</v>
      </c>
      <c r="E11" s="734">
        <v>639959713</v>
      </c>
      <c r="F11" s="734"/>
      <c r="G11" s="734"/>
      <c r="H11" s="734">
        <f t="shared" si="0"/>
        <v>639959713</v>
      </c>
      <c r="I11" s="44">
        <f t="shared" si="1"/>
        <v>-639959713</v>
      </c>
      <c r="J11" s="330">
        <f t="shared" ref="J11:J18" si="3">IF(I11=0,"",I11/H11)</f>
        <v>-1</v>
      </c>
      <c r="K11" s="736">
        <f t="shared" si="2"/>
        <v>639959713</v>
      </c>
    </row>
    <row r="12" spans="1:11" ht="12.75" customHeight="1" x14ac:dyDescent="0.25">
      <c r="A12" s="86" t="s">
        <v>897</v>
      </c>
      <c r="B12" s="171"/>
      <c r="C12" s="749"/>
      <c r="D12" s="746">
        <v>169693887.59400004</v>
      </c>
      <c r="E12" s="734">
        <v>169594887.59400004</v>
      </c>
      <c r="F12" s="734"/>
      <c r="G12" s="734"/>
      <c r="H12" s="734">
        <f t="shared" si="0"/>
        <v>169594887.59400004</v>
      </c>
      <c r="I12" s="44">
        <f t="shared" si="1"/>
        <v>-169594887.59400004</v>
      </c>
      <c r="J12" s="330">
        <f t="shared" si="3"/>
        <v>-1</v>
      </c>
      <c r="K12" s="736">
        <f t="shared" si="2"/>
        <v>169594887.59400004</v>
      </c>
    </row>
    <row r="13" spans="1:11" ht="12.75" customHeight="1" x14ac:dyDescent="0.25">
      <c r="A13" s="86" t="s">
        <v>673</v>
      </c>
      <c r="B13" s="171"/>
      <c r="C13" s="749"/>
      <c r="D13" s="746"/>
      <c r="E13" s="734"/>
      <c r="F13" s="734"/>
      <c r="G13" s="734"/>
      <c r="H13" s="734"/>
      <c r="I13" s="44">
        <f t="shared" si="1"/>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-4148320148.6411486</v>
      </c>
      <c r="F15" s="734"/>
      <c r="G15" s="734"/>
      <c r="H15" s="734">
        <f>E15/12*12</f>
        <v>-4148320148.6411486</v>
      </c>
      <c r="I15" s="44">
        <f>H15-G15</f>
        <v>-4148320148.6411486</v>
      </c>
      <c r="J15" s="330">
        <f t="shared" si="3"/>
        <v>1</v>
      </c>
      <c r="K15" s="736">
        <f>E15</f>
        <v>-4148320148.6411486</v>
      </c>
    </row>
    <row r="16" spans="1:11" ht="12.75" customHeight="1" x14ac:dyDescent="0.25">
      <c r="A16" s="86" t="s">
        <v>459</v>
      </c>
      <c r="B16" s="171"/>
      <c r="C16" s="749"/>
      <c r="D16" s="746">
        <v>-41660099</v>
      </c>
      <c r="E16" s="734">
        <v>-41660099</v>
      </c>
      <c r="F16" s="734"/>
      <c r="G16" s="734"/>
      <c r="H16" s="734">
        <f>E16/12*12</f>
        <v>-41660099</v>
      </c>
      <c r="I16" s="44">
        <f>H16-G16</f>
        <v>-41660099</v>
      </c>
      <c r="J16" s="330">
        <f t="shared" si="3"/>
        <v>1</v>
      </c>
      <c r="K16" s="736">
        <f>E16</f>
        <v>-41660099</v>
      </c>
    </row>
    <row r="17" spans="1:11" ht="12.75" customHeight="1" x14ac:dyDescent="0.25">
      <c r="A17" s="86" t="s">
        <v>69</v>
      </c>
      <c r="B17" s="171"/>
      <c r="C17" s="749"/>
      <c r="D17" s="746">
        <v>-44060467.544000007</v>
      </c>
      <c r="E17" s="734">
        <v>-58899891.544000007</v>
      </c>
      <c r="F17" s="734"/>
      <c r="G17" s="734"/>
      <c r="H17" s="734">
        <f>E17/12*12</f>
        <v>-58899891.544000015</v>
      </c>
      <c r="I17" s="44">
        <f>H17-G17</f>
        <v>-58899891.544000015</v>
      </c>
      <c r="J17" s="330">
        <f t="shared" si="3"/>
        <v>1</v>
      </c>
      <c r="K17" s="736">
        <f>E17</f>
        <v>-58899891.544000007</v>
      </c>
    </row>
    <row r="18" spans="1:11" ht="12.75" customHeight="1" x14ac:dyDescent="0.25">
      <c r="A18" s="92" t="s">
        <v>901</v>
      </c>
      <c r="B18" s="233"/>
      <c r="C18" s="243">
        <f t="shared" ref="C18:H18" si="4">SUM(C7:C13)+SUM(C15:C17)</f>
        <v>0</v>
      </c>
      <c r="D18" s="74">
        <f t="shared" si="4"/>
        <v>645280409.45052338</v>
      </c>
      <c r="E18" s="73">
        <f t="shared" si="4"/>
        <v>1025121583.2866912</v>
      </c>
      <c r="F18" s="73">
        <f t="shared" si="4"/>
        <v>0</v>
      </c>
      <c r="G18" s="73">
        <f t="shared" si="4"/>
        <v>0</v>
      </c>
      <c r="H18" s="73">
        <f t="shared" si="4"/>
        <v>1025121583.2866912</v>
      </c>
      <c r="I18" s="73">
        <f>H18-G18</f>
        <v>1025121583.2866912</v>
      </c>
      <c r="J18" s="331">
        <f t="shared" si="3"/>
        <v>1</v>
      </c>
      <c r="K18" s="145">
        <f>SUM(K7:K13)+SUM(K15:K17)</f>
        <v>1025121583.2866912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5">IF(I22=0,"",I22/H22)</f>
        <v/>
      </c>
      <c r="K22" s="736"/>
    </row>
    <row r="23" spans="1:11" ht="12.75" customHeight="1" x14ac:dyDescent="0.25">
      <c r="A23" s="39" t="s">
        <v>446</v>
      </c>
      <c r="B23" s="169"/>
      <c r="C23" s="749"/>
      <c r="D23" s="746"/>
      <c r="E23" s="734"/>
      <c r="F23" s="734"/>
      <c r="G23" s="734"/>
      <c r="H23" s="734"/>
      <c r="I23" s="44">
        <f>G23-H23</f>
        <v>0</v>
      </c>
      <c r="J23" s="330" t="str">
        <f t="shared" si="5"/>
        <v/>
      </c>
      <c r="K23" s="736"/>
    </row>
    <row r="24" spans="1:11" ht="12.75" customHeight="1" x14ac:dyDescent="0.25">
      <c r="A24" s="39" t="s">
        <v>899</v>
      </c>
      <c r="B24" s="175"/>
      <c r="C24" s="749"/>
      <c r="D24" s="746"/>
      <c r="E24" s="734"/>
      <c r="F24" s="734"/>
      <c r="G24" s="734"/>
      <c r="H24" s="734"/>
      <c r="I24" s="44">
        <f>G24-H24</f>
        <v>0</v>
      </c>
      <c r="J24" s="330" t="str">
        <f t="shared" si="5"/>
        <v/>
      </c>
      <c r="K24" s="736"/>
    </row>
    <row r="25" spans="1:11" ht="12.75" customHeight="1" x14ac:dyDescent="0.25">
      <c r="A25" s="39" t="s">
        <v>900</v>
      </c>
      <c r="B25" s="169"/>
      <c r="C25" s="749"/>
      <c r="D25" s="746"/>
      <c r="E25" s="734"/>
      <c r="F25" s="734"/>
      <c r="G25" s="734"/>
      <c r="H25" s="734"/>
      <c r="I25" s="44">
        <f>G25-H25</f>
        <v>0</v>
      </c>
      <c r="J25" s="330" t="str">
        <f t="shared" si="5"/>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-527602753.05000001</v>
      </c>
      <c r="E27" s="734">
        <v>-700730232.32999992</v>
      </c>
      <c r="F27" s="734"/>
      <c r="G27" s="734"/>
      <c r="H27" s="734">
        <f>E27/12*12</f>
        <v>-700730232.32999992</v>
      </c>
      <c r="I27" s="44">
        <f>H27-G27</f>
        <v>-700730232.32999992</v>
      </c>
      <c r="J27" s="330">
        <f t="shared" si="5"/>
        <v>1</v>
      </c>
      <c r="K27" s="736">
        <f>E27</f>
        <v>-700730232.32999992</v>
      </c>
    </row>
    <row r="28" spans="1:11" ht="12.75" customHeight="1" x14ac:dyDescent="0.25">
      <c r="A28" s="92" t="s">
        <v>902</v>
      </c>
      <c r="B28" s="233"/>
      <c r="C28" s="546">
        <f t="shared" ref="C28:H28" si="6">SUM(C22:C25)+C27</f>
        <v>0</v>
      </c>
      <c r="D28" s="74">
        <f>SUM(D22:D25)+D27</f>
        <v>-527602753.05000001</v>
      </c>
      <c r="E28" s="73">
        <f t="shared" si="6"/>
        <v>-700730232.32999992</v>
      </c>
      <c r="F28" s="73">
        <f t="shared" si="6"/>
        <v>0</v>
      </c>
      <c r="G28" s="73">
        <f t="shared" si="6"/>
        <v>0</v>
      </c>
      <c r="H28" s="73">
        <f t="shared" si="6"/>
        <v>-700730232.32999992</v>
      </c>
      <c r="I28" s="73">
        <f>H28-G28</f>
        <v>-700730232.32999992</v>
      </c>
      <c r="J28" s="331">
        <f t="shared" si="5"/>
        <v>1</v>
      </c>
      <c r="K28" s="145">
        <f>SUM(K22:K25)+K27</f>
        <v>-700730232.32999992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7">IF(I32=0,"",I32/H32)</f>
        <v/>
      </c>
      <c r="K32" s="736"/>
    </row>
    <row r="33" spans="1:11" ht="12.75" customHeight="1" x14ac:dyDescent="0.25">
      <c r="A33" s="39" t="s">
        <v>971</v>
      </c>
      <c r="B33" s="169"/>
      <c r="C33" s="749"/>
      <c r="D33" s="746"/>
      <c r="E33" s="734"/>
      <c r="F33" s="734"/>
      <c r="G33" s="734"/>
      <c r="H33" s="734"/>
      <c r="I33" s="44">
        <f>G33-H33</f>
        <v>0</v>
      </c>
      <c r="J33" s="330" t="str">
        <f t="shared" si="7"/>
        <v/>
      </c>
      <c r="K33" s="736"/>
    </row>
    <row r="34" spans="1:11" ht="12.75" customHeight="1" x14ac:dyDescent="0.25">
      <c r="A34" s="39" t="s">
        <v>70</v>
      </c>
      <c r="B34" s="169"/>
      <c r="C34" s="749"/>
      <c r="D34" s="746"/>
      <c r="E34" s="734"/>
      <c r="F34" s="734"/>
      <c r="G34" s="734"/>
      <c r="H34" s="734"/>
      <c r="I34" s="44">
        <f>G34-H34</f>
        <v>0</v>
      </c>
      <c r="J34" s="330" t="str">
        <f t="shared" si="7"/>
        <v/>
      </c>
      <c r="K34" s="736"/>
    </row>
    <row r="35" spans="1:11" ht="12.75" customHeight="1" x14ac:dyDescent="0.25">
      <c r="A35" s="87" t="s">
        <v>909</v>
      </c>
      <c r="B35" s="169"/>
      <c r="C35" s="134"/>
      <c r="D35" s="46"/>
      <c r="E35" s="44"/>
      <c r="F35" s="44"/>
      <c r="G35" s="44"/>
      <c r="H35" s="44"/>
      <c r="I35" s="44"/>
      <c r="J35" s="330" t="str">
        <f t="shared" si="7"/>
        <v/>
      </c>
      <c r="K35" s="144"/>
    </row>
    <row r="36" spans="1:11" ht="12.75" customHeight="1" x14ac:dyDescent="0.25">
      <c r="A36" s="39" t="s">
        <v>911</v>
      </c>
      <c r="B36" s="169"/>
      <c r="C36" s="749"/>
      <c r="D36" s="746">
        <v>-79056107</v>
      </c>
      <c r="E36" s="734">
        <v>-79056107</v>
      </c>
      <c r="F36" s="734"/>
      <c r="G36" s="734"/>
      <c r="H36" s="734">
        <f>E36/12*12</f>
        <v>-79056107</v>
      </c>
      <c r="I36" s="44">
        <f>H36-G36</f>
        <v>-79056107</v>
      </c>
      <c r="J36" s="330">
        <f t="shared" si="7"/>
        <v>1</v>
      </c>
      <c r="K36" s="736">
        <f>E36</f>
        <v>-79056107</v>
      </c>
    </row>
    <row r="37" spans="1:11" ht="12.75" customHeight="1" x14ac:dyDescent="0.25">
      <c r="A37" s="92" t="s">
        <v>903</v>
      </c>
      <c r="B37" s="233"/>
      <c r="C37" s="546">
        <f t="shared" ref="C37:H37" si="8">SUM(C32:C34)+C36</f>
        <v>0</v>
      </c>
      <c r="D37" s="74">
        <f t="shared" si="8"/>
        <v>-79056107</v>
      </c>
      <c r="E37" s="73">
        <f t="shared" si="8"/>
        <v>-79056107</v>
      </c>
      <c r="F37" s="73">
        <f t="shared" si="8"/>
        <v>0</v>
      </c>
      <c r="G37" s="73">
        <f t="shared" si="8"/>
        <v>0</v>
      </c>
      <c r="H37" s="73">
        <f t="shared" si="8"/>
        <v>-79056107</v>
      </c>
      <c r="I37" s="73">
        <f>H37-G37</f>
        <v>-79056107</v>
      </c>
      <c r="J37" s="331">
        <f t="shared" si="7"/>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9">C18+C28+C37</f>
        <v>0</v>
      </c>
      <c r="D39" s="51">
        <f t="shared" si="9"/>
        <v>38621549.400523365</v>
      </c>
      <c r="E39" s="50">
        <f t="shared" si="9"/>
        <v>245335243.95669127</v>
      </c>
      <c r="F39" s="50">
        <f t="shared" si="9"/>
        <v>0</v>
      </c>
      <c r="G39" s="50">
        <f t="shared" si="9"/>
        <v>0</v>
      </c>
      <c r="H39" s="50">
        <f t="shared" si="9"/>
        <v>245335243.95669127</v>
      </c>
      <c r="I39" s="327"/>
      <c r="J39" s="327"/>
      <c r="K39" s="194">
        <f>K18+K28+K37</f>
        <v>245335243.95669127</v>
      </c>
    </row>
    <row r="40" spans="1:11" ht="12.75" customHeight="1" x14ac:dyDescent="0.25">
      <c r="A40" s="39" t="s">
        <v>512</v>
      </c>
      <c r="B40" s="169"/>
      <c r="C40" s="749"/>
      <c r="D40" s="746">
        <v>461119007.65853</v>
      </c>
      <c r="E40" s="734">
        <v>290786262.65853</v>
      </c>
      <c r="F40" s="273"/>
      <c r="G40" s="734"/>
      <c r="H40" s="44">
        <f>IF(E40=0, D40, E40)</f>
        <v>290786262.65853</v>
      </c>
      <c r="I40" s="273"/>
      <c r="J40" s="273"/>
      <c r="K40" s="385">
        <f>G40</f>
        <v>0</v>
      </c>
    </row>
    <row r="41" spans="1:11" ht="12.75" customHeight="1" x14ac:dyDescent="0.25">
      <c r="A41" s="129" t="s">
        <v>55</v>
      </c>
      <c r="B41" s="119"/>
      <c r="C41" s="225">
        <f>C39+C40</f>
        <v>0</v>
      </c>
      <c r="D41" s="116">
        <f>D39+D40</f>
        <v>499740557.05905336</v>
      </c>
      <c r="E41" s="115">
        <f>E39+E40</f>
        <v>536121506.61522126</v>
      </c>
      <c r="F41" s="274"/>
      <c r="G41" s="115">
        <f>G39+G40</f>
        <v>0</v>
      </c>
      <c r="H41" s="115">
        <f>H39+H40</f>
        <v>536121506.61522126</v>
      </c>
      <c r="I41" s="274"/>
      <c r="J41" s="274"/>
      <c r="K41" s="190">
        <f>K39+K40</f>
        <v>245335243.95669127</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7"/>
  <sheetViews>
    <sheetView showGridLines="0" zoomScaleNormal="100" workbookViewId="0">
      <pane xSplit="2" ySplit="4" topLeftCell="C5" activePane="bottomRight" state="frozen"/>
      <selection pane="topRight"/>
      <selection pane="bottomLeft"/>
      <selection pane="bottomRight" activeCell="B26" sqref="B26:E26"/>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7" t="str">
        <f>muni&amp; " - "&amp;S71G&amp; " - "&amp;date</f>
        <v>KZN225 Msunduzi - Supporting Table SC1 Material variance explanations  - Q4 Fourth Quarter</v>
      </c>
      <c r="B1" s="1037"/>
      <c r="C1" s="1037"/>
      <c r="D1" s="1037"/>
      <c r="E1" s="1037"/>
    </row>
    <row r="2" spans="1:5" x14ac:dyDescent="0.25">
      <c r="A2" s="1019" t="str">
        <f>head27</f>
        <v>Ref</v>
      </c>
      <c r="B2" s="1026" t="str">
        <f>desc</f>
        <v>Description</v>
      </c>
      <c r="C2" s="269"/>
      <c r="D2" s="269"/>
      <c r="E2" s="275"/>
    </row>
    <row r="3" spans="1:5" x14ac:dyDescent="0.25">
      <c r="A3" s="1030"/>
      <c r="B3" s="1027"/>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845</v>
      </c>
      <c r="C6" s="984">
        <v>0.18174823872528698</v>
      </c>
      <c r="D6" s="759" t="s">
        <v>1474</v>
      </c>
      <c r="E6" s="759" t="s">
        <v>1471</v>
      </c>
    </row>
    <row r="7" spans="1:5" ht="11.25" customHeight="1" x14ac:dyDescent="0.25">
      <c r="A7" s="169"/>
      <c r="B7" s="759" t="s">
        <v>849</v>
      </c>
      <c r="C7" s="984">
        <v>0.56958755297121721</v>
      </c>
      <c r="D7" s="759" t="s">
        <v>1474</v>
      </c>
      <c r="E7" s="759" t="s">
        <v>1471</v>
      </c>
    </row>
    <row r="8" spans="1:5" ht="11.25" customHeight="1" x14ac:dyDescent="0.25">
      <c r="A8" s="169"/>
      <c r="B8" s="759" t="s">
        <v>976</v>
      </c>
      <c r="C8" s="984">
        <v>0.56929612774907201</v>
      </c>
      <c r="D8" s="759" t="s">
        <v>1474</v>
      </c>
      <c r="E8" s="759" t="s">
        <v>1471</v>
      </c>
    </row>
    <row r="9" spans="1:5" ht="11.25" customHeight="1" x14ac:dyDescent="0.25">
      <c r="A9" s="169"/>
      <c r="B9" s="759" t="s">
        <v>587</v>
      </c>
      <c r="C9" s="984">
        <v>1.583236860545141</v>
      </c>
      <c r="D9" s="759" t="s">
        <v>1474</v>
      </c>
      <c r="E9" s="759" t="s">
        <v>1471</v>
      </c>
    </row>
    <row r="10" spans="1:5" ht="11.25" customHeight="1" x14ac:dyDescent="0.25">
      <c r="A10" s="169"/>
      <c r="B10" s="759" t="s">
        <v>1130</v>
      </c>
      <c r="C10" s="984">
        <v>-0.17376893035104313</v>
      </c>
      <c r="D10" s="759" t="s">
        <v>1462</v>
      </c>
      <c r="E10" s="759" t="s">
        <v>1463</v>
      </c>
    </row>
    <row r="11" spans="1:5" ht="11.25" customHeight="1" x14ac:dyDescent="0.25">
      <c r="A11" s="169"/>
      <c r="B11" s="759" t="s">
        <v>850</v>
      </c>
      <c r="C11" s="984">
        <v>-0.43580342292710961</v>
      </c>
      <c r="D11" s="759" t="s">
        <v>1465</v>
      </c>
      <c r="E11" s="759" t="s">
        <v>1461</v>
      </c>
    </row>
    <row r="12" spans="1:5" ht="11.25" customHeight="1" x14ac:dyDescent="0.25">
      <c r="A12" s="169"/>
      <c r="B12" s="759" t="s">
        <v>460</v>
      </c>
      <c r="C12" s="984">
        <v>-0.16587205535575694</v>
      </c>
      <c r="D12" s="759" t="s">
        <v>1466</v>
      </c>
      <c r="E12" s="759" t="s">
        <v>1461</v>
      </c>
    </row>
    <row r="13" spans="1:5" ht="11.25" customHeight="1" x14ac:dyDescent="0.25">
      <c r="A13" s="169"/>
      <c r="B13" s="759"/>
      <c r="C13" s="984"/>
      <c r="D13" s="759"/>
      <c r="E13" s="759"/>
    </row>
    <row r="14" spans="1:5" ht="11.25" customHeight="1" x14ac:dyDescent="0.25">
      <c r="A14" s="169"/>
      <c r="B14" s="759"/>
      <c r="C14" s="984"/>
      <c r="D14" s="985"/>
      <c r="E14" s="759"/>
    </row>
    <row r="15" spans="1:5" ht="11.25" customHeight="1" x14ac:dyDescent="0.25">
      <c r="A15" s="169"/>
      <c r="B15" s="759"/>
      <c r="C15" s="749"/>
      <c r="D15" s="759"/>
      <c r="E15" s="759"/>
    </row>
    <row r="16" spans="1:5" ht="11.25" customHeight="1" x14ac:dyDescent="0.25">
      <c r="A16" s="169">
        <v>2</v>
      </c>
      <c r="B16" s="386" t="str">
        <f>'C4-FinPerf RE'!A24</f>
        <v>Expenditure By Type</v>
      </c>
      <c r="C16" s="387"/>
      <c r="D16" s="387"/>
      <c r="E16" s="387"/>
    </row>
    <row r="17" spans="1:5" ht="11.25" customHeight="1" x14ac:dyDescent="0.25">
      <c r="A17" s="169"/>
      <c r="B17" s="759" t="s">
        <v>484</v>
      </c>
      <c r="C17" s="984">
        <v>-0.1501048550836713</v>
      </c>
      <c r="D17" s="759" t="s">
        <v>1467</v>
      </c>
      <c r="E17" s="759" t="s">
        <v>1468</v>
      </c>
    </row>
    <row r="18" spans="1:5" ht="11.25" customHeight="1" x14ac:dyDescent="0.25">
      <c r="A18" s="169"/>
      <c r="B18" s="759" t="s">
        <v>852</v>
      </c>
      <c r="C18" s="984">
        <v>-0.14021364301054934</v>
      </c>
      <c r="D18" s="759" t="s">
        <v>1467</v>
      </c>
      <c r="E18" s="759" t="s">
        <v>1468</v>
      </c>
    </row>
    <row r="19" spans="1:5" ht="11.25" customHeight="1" x14ac:dyDescent="0.25">
      <c r="A19" s="169"/>
      <c r="B19" s="759" t="s">
        <v>618</v>
      </c>
      <c r="C19" s="984">
        <v>3.6323037959498516</v>
      </c>
      <c r="D19" s="759" t="s">
        <v>1469</v>
      </c>
      <c r="E19" s="759" t="s">
        <v>1470</v>
      </c>
    </row>
    <row r="20" spans="1:5" ht="11.25" customHeight="1" x14ac:dyDescent="0.25">
      <c r="A20" s="169"/>
      <c r="B20" s="759" t="s">
        <v>933</v>
      </c>
      <c r="C20" s="984">
        <v>0.14706409386314589</v>
      </c>
      <c r="D20" s="759" t="s">
        <v>1464</v>
      </c>
      <c r="E20" s="759" t="s">
        <v>1471</v>
      </c>
    </row>
    <row r="21" spans="1:5" ht="11.25" customHeight="1" x14ac:dyDescent="0.25">
      <c r="A21" s="169"/>
      <c r="B21" s="759" t="s">
        <v>1131</v>
      </c>
      <c r="C21" s="984">
        <v>-0.59823663925290038</v>
      </c>
      <c r="D21" s="759" t="s">
        <v>1464</v>
      </c>
      <c r="E21" s="759" t="s">
        <v>1471</v>
      </c>
    </row>
    <row r="22" spans="1:5" ht="11.25" customHeight="1" x14ac:dyDescent="0.25">
      <c r="A22" s="169"/>
      <c r="B22" s="759" t="s">
        <v>440</v>
      </c>
      <c r="C22" s="984">
        <v>0.33754762333313176</v>
      </c>
      <c r="D22" s="759" t="s">
        <v>1475</v>
      </c>
      <c r="E22" s="759" t="s">
        <v>1471</v>
      </c>
    </row>
    <row r="23" spans="1:5" ht="11.25" customHeight="1" x14ac:dyDescent="0.25">
      <c r="A23" s="169"/>
      <c r="B23" s="759"/>
      <c r="C23" s="984"/>
      <c r="D23" s="759"/>
      <c r="E23" s="759"/>
    </row>
    <row r="24" spans="1:5" ht="11.25" customHeight="1" x14ac:dyDescent="0.25">
      <c r="A24" s="169"/>
      <c r="B24" s="759"/>
      <c r="C24" s="984"/>
      <c r="D24" s="759"/>
      <c r="E24" s="759"/>
    </row>
    <row r="25" spans="1:5" ht="11.25" customHeight="1" x14ac:dyDescent="0.25">
      <c r="A25" s="169">
        <v>3</v>
      </c>
      <c r="B25" s="386" t="str">
        <f>RIGHT('C5-Capex'!A40,19)</f>
        <v>Capital Expenditure</v>
      </c>
      <c r="C25" s="387"/>
      <c r="D25" s="387"/>
      <c r="E25" s="387"/>
    </row>
    <row r="26" spans="1:5" ht="11.25" customHeight="1" x14ac:dyDescent="0.25">
      <c r="A26" s="169"/>
      <c r="B26" s="759" t="s">
        <v>1472</v>
      </c>
      <c r="C26" s="984">
        <v>-0.43726953856944711</v>
      </c>
      <c r="D26" s="759" t="s">
        <v>1473</v>
      </c>
      <c r="E26" s="759" t="s">
        <v>1464</v>
      </c>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4</v>
      </c>
      <c r="B30" s="386" t="s">
        <v>83</v>
      </c>
      <c r="C30" s="387"/>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5</v>
      </c>
      <c r="B35" s="386" t="s">
        <v>84</v>
      </c>
      <c r="C35" s="387"/>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69">
        <v>6</v>
      </c>
      <c r="B40" s="386" t="s">
        <v>85</v>
      </c>
      <c r="C40" s="388"/>
      <c r="D40" s="387"/>
      <c r="E40" s="387"/>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c r="B43" s="759"/>
      <c r="C43" s="749"/>
      <c r="D43" s="759"/>
      <c r="E43" s="759"/>
    </row>
    <row r="44" spans="1:5" ht="11.25" customHeight="1" x14ac:dyDescent="0.25">
      <c r="A44" s="169"/>
      <c r="B44" s="759"/>
      <c r="C44" s="749"/>
      <c r="D44" s="759"/>
      <c r="E44" s="759"/>
    </row>
    <row r="45" spans="1:5" ht="11.25" customHeight="1" x14ac:dyDescent="0.25">
      <c r="A45" s="169">
        <v>7</v>
      </c>
      <c r="B45" s="386" t="s">
        <v>86</v>
      </c>
      <c r="C45" s="388"/>
      <c r="D45" s="387"/>
      <c r="E45" s="387"/>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69"/>
      <c r="B48" s="759"/>
      <c r="C48" s="749"/>
      <c r="D48" s="759"/>
      <c r="E48" s="759"/>
    </row>
    <row r="49" spans="1:5" ht="11.25" customHeight="1" x14ac:dyDescent="0.25">
      <c r="A49" s="169"/>
      <c r="B49" s="759"/>
      <c r="C49" s="749"/>
      <c r="D49" s="759"/>
      <c r="E49" s="759"/>
    </row>
    <row r="50" spans="1:5" ht="11.25" customHeight="1" x14ac:dyDescent="0.25">
      <c r="A50" s="119"/>
      <c r="B50" s="760"/>
      <c r="C50" s="761"/>
      <c r="D50" s="760"/>
      <c r="E50" s="760"/>
    </row>
    <row r="51" spans="1:5" ht="11.25" customHeight="1" x14ac:dyDescent="0.25">
      <c r="A51" s="78" t="str">
        <f>head27a</f>
        <v>References</v>
      </c>
      <c r="B51" s="67"/>
      <c r="C51" s="67"/>
      <c r="D51" s="67"/>
      <c r="E51" s="67"/>
    </row>
    <row r="52" spans="1:5" ht="11.25" customHeight="1" x14ac:dyDescent="0.25">
      <c r="A52" s="33" t="s">
        <v>865</v>
      </c>
    </row>
    <row r="53" spans="1:5" ht="11.25" customHeight="1" x14ac:dyDescent="0.25">
      <c r="A53" s="33" t="s">
        <v>866</v>
      </c>
    </row>
    <row r="54" spans="1:5" ht="11.25" customHeight="1" x14ac:dyDescent="0.25">
      <c r="A54" s="33" t="s">
        <v>867</v>
      </c>
    </row>
    <row r="55" spans="1:5" ht="11.25" customHeight="1" x14ac:dyDescent="0.25">
      <c r="A55" s="33" t="s">
        <v>868</v>
      </c>
    </row>
    <row r="56" spans="1:5" ht="11.25" customHeight="1" x14ac:dyDescent="0.25">
      <c r="A56" s="33" t="s">
        <v>869</v>
      </c>
    </row>
    <row r="57" spans="1:5" ht="11.25" customHeight="1" x14ac:dyDescent="0.25">
      <c r="A5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7" t="str">
        <f>muni&amp; " - "&amp;S71H&amp; " - "&amp;Head57</f>
        <v>KZN225 Msunduzi - Supporting Table SC2 Monthly Budget Statement - performance indicators   - Q4 Fourth Quarter</v>
      </c>
      <c r="B1" s="1037"/>
      <c r="C1" s="1037"/>
      <c r="D1" s="1037"/>
      <c r="E1" s="1037"/>
      <c r="F1" s="1037"/>
      <c r="G1" s="1037"/>
      <c r="H1" s="1037"/>
    </row>
    <row r="2" spans="1:11" ht="12.75" x14ac:dyDescent="0.25">
      <c r="A2" s="1042" t="s">
        <v>561</v>
      </c>
      <c r="B2" s="1026" t="s">
        <v>781</v>
      </c>
      <c r="C2" s="1019" t="str">
        <f>head27</f>
        <v>Ref</v>
      </c>
      <c r="D2" s="138" t="str">
        <f>Head1</f>
        <v>2018/19</v>
      </c>
      <c r="E2" s="245" t="str">
        <f>Head2</f>
        <v>Budget Year 2019/20</v>
      </c>
      <c r="F2" s="229"/>
      <c r="G2" s="229"/>
      <c r="H2" s="230"/>
    </row>
    <row r="3" spans="1:11" ht="25.5" x14ac:dyDescent="0.25">
      <c r="A3" s="1043"/>
      <c r="B3" s="1027"/>
      <c r="C3" s="1030"/>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0.10015660678626749</v>
      </c>
      <c r="F7" s="124">
        <f>IF(ISERROR((F42+F44)/F45),0,((F42+F44)/F45))</f>
        <v>0.10201107458414739</v>
      </c>
      <c r="G7" s="124">
        <f>IF(ISERROR((G42+G44)/G45),0,((G42+G44)/G45))</f>
        <v>8.6592411226827093E-3</v>
      </c>
      <c r="H7" s="276">
        <f>IF(ISERROR((H42+H44)/H45),0,((H42+H44)/H45))</f>
        <v>1.7803205036787312E-2</v>
      </c>
    </row>
    <row r="8" spans="1:11" ht="30" customHeight="1" x14ac:dyDescent="0.25">
      <c r="A8" s="126" t="s">
        <v>1069</v>
      </c>
      <c r="B8" s="123" t="s">
        <v>66</v>
      </c>
      <c r="C8" s="174"/>
      <c r="D8" s="120">
        <f>IF(ISERROR(D47/D46),0,(D47/D46))</f>
        <v>7.6697447874410657E-2</v>
      </c>
      <c r="E8" s="282">
        <f>IF(ISERROR(E47/E46),0,(E47/E46))</f>
        <v>1.013924195543605E-2</v>
      </c>
      <c r="F8" s="124">
        <f>IF(ISERROR(F47/F46),0,(F47/F46))</f>
        <v>7.5408650824699119E-3</v>
      </c>
      <c r="G8" s="124">
        <f>IF(ISERROR(G47/G46),0,(G47/G46))</f>
        <v>1.0069719683981196E-2</v>
      </c>
      <c r="H8" s="276">
        <f>IF(ISERROR(H47/H46),0,(H47/H46))</f>
        <v>7.5408650824699119E-3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0.22112619249271656</v>
      </c>
      <c r="F10" s="124">
        <f>IF(ISERROR(F48/F49),0,(F48/F49))</f>
        <v>0.22415444191840342</v>
      </c>
      <c r="G10" s="124">
        <f>IF(ISERROR(G48/G49),0,(G48/G49))</f>
        <v>0.21784263883223526</v>
      </c>
      <c r="H10" s="276">
        <f>IF(ISERROR(H48/H49),0,(H48/H49))</f>
        <v>0.22415444191840342</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3.2345525787987004</v>
      </c>
      <c r="G11" s="124">
        <f>IF(ISERROR(G51/G50),0,(G51/G50))</f>
        <v>1.3073091499258471</v>
      </c>
      <c r="H11" s="276">
        <f>IF(ISERROR(H51/H50),0,(H51/H50))</f>
        <v>3.2345525787987004</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1.0883096453247856</v>
      </c>
      <c r="F13" s="124">
        <f>IF(ISERROR(F52/F53),0,(F52/F53))</f>
        <v>1.0884205661962458</v>
      </c>
      <c r="G13" s="124">
        <f>IF(ISERROR(G52/G53),0,(G52/G53))</f>
        <v>1.5280714732728089</v>
      </c>
      <c r="H13" s="276">
        <f>IF(ISERROR(H52/H53),0,(H52/H53))</f>
        <v>1.0884205661962458</v>
      </c>
    </row>
    <row r="14" spans="1:11" ht="12.75" customHeight="1" x14ac:dyDescent="0.25">
      <c r="A14" s="126" t="s">
        <v>747</v>
      </c>
      <c r="B14" s="123" t="s">
        <v>442</v>
      </c>
      <c r="C14" s="174"/>
      <c r="D14" s="120">
        <f>IF(ISERROR(D54/D53),0,(D54/D53))</f>
        <v>0.2198175008764833</v>
      </c>
      <c r="E14" s="282">
        <f>IF(ISERROR(E54/E53),0,(E54/E53))</f>
        <v>0.37838192600109288</v>
      </c>
      <c r="F14" s="124">
        <f>IF(ISERROR(F54/F53),0,(F54/F53))</f>
        <v>0.37849284697855495</v>
      </c>
      <c r="G14" s="124">
        <f>IF(ISERROR(G54/G53),0,(G54/G53))</f>
        <v>0.25525161760903176</v>
      </c>
      <c r="H14" s="276">
        <f>IF(ISERROR(H54/H53),0,(H54/H53))</f>
        <v>0.37849284697855495</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0.1609819321276785</v>
      </c>
      <c r="F17" s="124">
        <f>IF(ISERROR(F59/F55),0,(F59/F55))</f>
        <v>0.16054714226873781</v>
      </c>
      <c r="G17" s="124">
        <f>IF(ISERROR(G59/G55),0,(G59/G55))</f>
        <v>0.36902618596544412</v>
      </c>
      <c r="H17" s="276">
        <f>IF(ISERROR(H59/H55),0,(H59/H55))</f>
        <v>0.16054714226873781</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0.25976227391290557</v>
      </c>
      <c r="F26" s="124">
        <f>IF(ISERROR(F40/F55),0,(F40/F55))</f>
        <v>0.25897906802725396</v>
      </c>
      <c r="G26" s="124">
        <f>IF(ISERROR(G40/G55),0,(G40/G55))</f>
        <v>0.22992089367325164</v>
      </c>
      <c r="H26" s="276">
        <f>IF(ISERROR(H40/H55),0,(H40/H55))</f>
        <v>0.25897906802725396</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9.5222326706400434E-2</v>
      </c>
      <c r="F28" s="124">
        <f>IF(ISERROR((F42+F44)/F55),0,((F42+F44)/F55))</f>
        <v>9.497335742683756E-2</v>
      </c>
      <c r="G28" s="124">
        <f>IF(ISERROR((G42+G44)/G55),0,((G42+G44)/G55))</f>
        <v>8.03521357918386E-3</v>
      </c>
      <c r="H28" s="276">
        <f>IF(ISERROR((H42+H44)/H55),0,((H42+H44)/H55))</f>
        <v>1.6574966612152842E-2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285317995.64999998</v>
      </c>
      <c r="H38" s="48">
        <v>0</v>
      </c>
    </row>
    <row r="39" spans="1:9" ht="12.75" customHeight="1" x14ac:dyDescent="0.25">
      <c r="A39" s="42" t="s">
        <v>535</v>
      </c>
      <c r="B39" s="67"/>
      <c r="C39" s="67"/>
      <c r="D39" s="84">
        <f>'C6-FinPos'!C26</f>
        <v>9332949572</v>
      </c>
      <c r="E39" s="84">
        <f>'C6-FinPos'!D26</f>
        <v>9476988528.6918793</v>
      </c>
      <c r="F39" s="84">
        <f>'C6-FinPos'!E26</f>
        <v>9383045163.2718811</v>
      </c>
      <c r="G39" s="97">
        <f>'C6-FinPos'!F26</f>
        <v>10906647584.250004</v>
      </c>
      <c r="H39" s="48">
        <f>'C6-FinPos'!G26</f>
        <v>9383045163.2718811</v>
      </c>
    </row>
    <row r="40" spans="1:9" ht="12.75" customHeight="1" x14ac:dyDescent="0.25">
      <c r="A40" s="42" t="str">
        <f>'C4-FinPerf RE'!A25</f>
        <v>Employee related costs</v>
      </c>
      <c r="B40" s="67"/>
      <c r="C40" s="67"/>
      <c r="D40" s="84">
        <f>'C4-FinPerf RE'!C25</f>
        <v>1268313732</v>
      </c>
      <c r="E40" s="84">
        <f>'C4-FinPerf RE'!D25</f>
        <v>1455869442.71</v>
      </c>
      <c r="F40" s="84">
        <f>'C4-FinPerf RE'!E25</f>
        <v>1455410731.7000008</v>
      </c>
      <c r="G40" s="97">
        <f>'C4-FinPerf RE'!G25</f>
        <v>1250924393.7800012</v>
      </c>
      <c r="H40" s="48">
        <f>'C4-FinPerf RE'!K25</f>
        <v>1455410731.7000008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43716969.409999996</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492025080.2500006</v>
      </c>
      <c r="F44" s="84">
        <f>'C4-FinPerf RE'!E28</f>
        <v>492071235.64999992</v>
      </c>
      <c r="G44" s="97"/>
      <c r="H44" s="48">
        <f>'C4-FinPerf RE'!K26</f>
        <v>51487908.93999999</v>
      </c>
    </row>
    <row r="45" spans="1:9" ht="12.75" customHeight="1" x14ac:dyDescent="0.25">
      <c r="A45" s="42" t="s">
        <v>0</v>
      </c>
      <c r="B45" s="67"/>
      <c r="C45" s="67"/>
      <c r="D45" s="84">
        <f>'C4-FinPerf RE'!C36</f>
        <v>4934358439.000001</v>
      </c>
      <c r="E45" s="84">
        <f>'C4-FinPerf RE'!D36</f>
        <v>5328506988.948575</v>
      </c>
      <c r="F45" s="84">
        <f>'C4-FinPerf RE'!E36</f>
        <v>5232092072.6085777</v>
      </c>
      <c r="G45" s="97">
        <f>'C4-FinPerf RE'!G36</f>
        <v>5048591301.5500011</v>
      </c>
      <c r="H45" s="48">
        <f>'C4-FinPerf RE'!K36</f>
        <v>5232092072.6085777</v>
      </c>
    </row>
    <row r="46" spans="1:9" ht="12.75" customHeight="1" x14ac:dyDescent="0.25">
      <c r="A46" s="42" t="str">
        <f>'C5-Capex'!A40</f>
        <v>Total Capital Expenditure</v>
      </c>
      <c r="B46" s="67"/>
      <c r="C46" s="67"/>
      <c r="D46" s="84">
        <f>'C5-Capex'!C40</f>
        <v>613486541</v>
      </c>
      <c r="E46" s="84">
        <f>'C5-Capex'!D40</f>
        <v>555371301.39999998</v>
      </c>
      <c r="F46" s="84">
        <f>'C5-Capex'!E40</f>
        <v>746737136.71000004</v>
      </c>
      <c r="G46" s="97">
        <f>'C5-Capex'!G40</f>
        <v>420053219.23000002</v>
      </c>
      <c r="H46" s="48">
        <f>'C5-Capex'!K40</f>
        <v>746737136.71000004</v>
      </c>
    </row>
    <row r="47" spans="1:9" ht="12.75" customHeight="1" x14ac:dyDescent="0.25">
      <c r="A47" s="42" t="s">
        <v>540</v>
      </c>
      <c r="B47" s="67"/>
      <c r="C47" s="67"/>
      <c r="D47" s="84">
        <f>'C5-Capex'!C72</f>
        <v>47052852</v>
      </c>
      <c r="E47" s="84">
        <f>'C5-Capex'!D72</f>
        <v>5631044</v>
      </c>
      <c r="F47" s="84">
        <f>'C5-Capex'!E72</f>
        <v>5631044</v>
      </c>
      <c r="G47" s="97">
        <f>'C5-Capex'!G72</f>
        <v>4229818.17</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1788007705.5799999</v>
      </c>
      <c r="H48" s="48">
        <f>'C6-FinPos'!G30+'C6-FinPos'!G31+'C6-FinPos'!G33+'C6-FinPos'!G38</f>
        <v>1537665987.7371171</v>
      </c>
    </row>
    <row r="49" spans="1:8" ht="12.75" customHeight="1" x14ac:dyDescent="0.25">
      <c r="A49" s="42" t="s">
        <v>539</v>
      </c>
      <c r="B49" s="67"/>
      <c r="C49" s="67"/>
      <c r="D49" s="84">
        <f>'C6-FinPos'!C48</f>
        <v>6868524280</v>
      </c>
      <c r="E49" s="84">
        <f>'C6-FinPos'!D48</f>
        <v>6953793987.059062</v>
      </c>
      <c r="F49" s="84">
        <f>'C6-FinPos'!E48</f>
        <v>6859850621.6390638</v>
      </c>
      <c r="G49" s="97">
        <f>'C6-FinPos'!F48</f>
        <v>8207794925.5700054</v>
      </c>
      <c r="H49" s="48">
        <f>'C6-FinPos'!G48</f>
        <v>6859850621.6390638</v>
      </c>
    </row>
    <row r="50" spans="1:8" ht="12.75" customHeight="1" x14ac:dyDescent="0.25">
      <c r="A50" s="42" t="str">
        <f>'C6-FinPos'!A47</f>
        <v>Reserves</v>
      </c>
      <c r="B50" s="67"/>
      <c r="C50" s="67"/>
      <c r="D50" s="84">
        <f>'C6-FinPos'!C47</f>
        <v>228913258</v>
      </c>
      <c r="E50" s="84">
        <f>'C6-FinPos'!D47</f>
        <v>236244266</v>
      </c>
      <c r="F50" s="84">
        <f>'C6-FinPos'!E47</f>
        <v>142074403.86000061</v>
      </c>
      <c r="G50" s="97">
        <f>'C6-FinPos'!F47</f>
        <v>218248297.02001527</v>
      </c>
      <c r="H50" s="48">
        <f>'C6-FinPos'!G47</f>
        <v>142074403.86000061</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285317995.64999998</v>
      </c>
      <c r="H51" s="48">
        <f>'C6-FinPos'!G38</f>
        <v>459547129.38665301</v>
      </c>
    </row>
    <row r="52" spans="1:8" ht="12.75" customHeight="1" x14ac:dyDescent="0.25">
      <c r="A52" s="42" t="str">
        <f>'C6-FinPos'!A6</f>
        <v>Current assets</v>
      </c>
      <c r="B52" s="67"/>
      <c r="C52" s="67"/>
      <c r="D52" s="84">
        <f>'C6-FinPos'!C13</f>
        <v>1115445477</v>
      </c>
      <c r="E52" s="84">
        <f>'C6-FinPos'!D13</f>
        <v>1437363761.4122667</v>
      </c>
      <c r="F52" s="84">
        <f>'C6-FinPos'!E13</f>
        <v>1437510257.9922667</v>
      </c>
      <c r="G52" s="97">
        <f>'C6-FinPos'!F13</f>
        <v>2816327834.9300008</v>
      </c>
      <c r="H52" s="48">
        <f>'C6-FinPos'!G13</f>
        <v>1437510257.9922667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1843060278.3900001</v>
      </c>
      <c r="H53" s="48">
        <f>'C6-FinPos'!G35</f>
        <v>1320730517.8144519</v>
      </c>
    </row>
    <row r="54" spans="1:8" ht="12.75" customHeight="1" x14ac:dyDescent="0.25">
      <c r="A54" s="42" t="s">
        <v>541</v>
      </c>
      <c r="B54" s="67"/>
      <c r="C54" s="67"/>
      <c r="D54" s="84">
        <f>'C6-FinPos'!C7+'C6-FinPos'!C8</f>
        <v>323877096</v>
      </c>
      <c r="E54" s="84">
        <f>'C6-FinPos'!D7+'C6-FinPos'!D8</f>
        <v>499740557.059053</v>
      </c>
      <c r="F54" s="84">
        <f>'C6-FinPos'!E7+'C6-FinPos'!E8</f>
        <v>499887053.77905297</v>
      </c>
      <c r="G54" s="97">
        <f>'C6-FinPos'!F7+'C6-FinPos'!F8</f>
        <v>470444117.40999991</v>
      </c>
      <c r="H54" s="48">
        <f>'C6-FinPos'!G7+'C6-FinPos'!G8</f>
        <v>499887053.77905297</v>
      </c>
    </row>
    <row r="55" spans="1:8" ht="12.75" customHeight="1" x14ac:dyDescent="0.25">
      <c r="A55" s="42" t="str">
        <f>'C4-FinPerf RE'!A22</f>
        <v>Total Revenue (excluding capital transfers and contributions)</v>
      </c>
      <c r="B55" s="67"/>
      <c r="C55" s="67"/>
      <c r="D55" s="84">
        <f>'C4-FinPerf RE'!C22</f>
        <v>5027344757</v>
      </c>
      <c r="E55" s="84">
        <f>'C4-FinPerf RE'!D22</f>
        <v>5604622337.1070871</v>
      </c>
      <c r="F55" s="84">
        <f>'C4-FinPerf RE'!E22</f>
        <v>5619800637.8910866</v>
      </c>
      <c r="G55" s="97">
        <f>'C4-FinPerf RE'!G22</f>
        <v>5440672980.1499996</v>
      </c>
      <c r="H55" s="48">
        <f>'C4-FinPerf RE'!K22</f>
        <v>5619800637.8910866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637128043.97000015</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431537130.45999998</v>
      </c>
      <c r="H57" s="48">
        <f>'C4-FinPerf RE'!K39</f>
        <v>674822398</v>
      </c>
    </row>
    <row r="58" spans="1:8" ht="12.75" customHeight="1" x14ac:dyDescent="0.25">
      <c r="A58" s="42" t="s">
        <v>453</v>
      </c>
      <c r="B58" s="67"/>
      <c r="C58" s="67"/>
      <c r="D58" s="84">
        <f>'C7-CFlow'!C12+'C7-CFlow'!C36</f>
        <v>0</v>
      </c>
      <c r="E58" s="84">
        <f>'C7-CFlow'!D12+'C7-CFlow'!D36</f>
        <v>90637780.594000041</v>
      </c>
      <c r="F58" s="84">
        <f>'C7-CFlow'!E12+'C7-CFlow'!E36</f>
        <v>90538780.594000041</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2007750798.9500008</v>
      </c>
      <c r="H59" s="48">
        <f>'C6-FinPos'!G9+'C6-FinPos'!G10+'C6-FinPos'!G11+'C6-FinPos'!G16</f>
        <v>902242932.53344381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3121566782.3800001</v>
      </c>
      <c r="H60" s="48"/>
    </row>
    <row r="61" spans="1:8" ht="12.75" customHeight="1" x14ac:dyDescent="0.25">
      <c r="A61" s="42" t="s">
        <v>455</v>
      </c>
      <c r="B61" s="67" t="s">
        <v>456</v>
      </c>
      <c r="C61" s="67"/>
      <c r="D61" s="84">
        <f>'C6-FinPos'!C7+'C6-FinPos'!C8+'C6-FinPos'!C17-'C6-FinPos'!C30</f>
        <v>323877096</v>
      </c>
      <c r="E61" s="84">
        <f>'C6-FinPos'!D7+'C6-FinPos'!D8+'C6-FinPos'!D17-'C6-FinPos'!D30</f>
        <v>499740557.059053</v>
      </c>
      <c r="F61" s="84">
        <f>'C6-FinPos'!E7+'C6-FinPos'!E8+'C6-FinPos'!E17-'C6-FinPos'!E30</f>
        <v>499887053.77905297</v>
      </c>
      <c r="G61" s="97">
        <f>'C6-FinPos'!F7+'C6-FinPos'!F8+'C6-FinPos'!F17-'C6-FinPos'!F30</f>
        <v>470444117.40999991</v>
      </c>
      <c r="H61" s="48">
        <f>'C6-FinPos'!G7+'C6-FinPos'!G8+'C6-FinPos'!G17-'C6-FinPos'!G30</f>
        <v>499887053.77905297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0</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N17" sqref="N17:N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7" t="str">
        <f>muni&amp; " - "&amp;S71I&amp; " - "&amp;Head57</f>
        <v>KZN225 Msunduzi - Supporting Table SC3 Monthly Budget Statement - aged debtors - Q4 Fourth Quarter</v>
      </c>
      <c r="B1" s="1037"/>
      <c r="C1" s="1044"/>
      <c r="D1" s="1044"/>
      <c r="E1" s="1044"/>
      <c r="F1" s="1044"/>
      <c r="G1" s="1044"/>
      <c r="H1" s="1044"/>
      <c r="I1" s="1044"/>
      <c r="J1" s="1044"/>
      <c r="K1" s="1044"/>
      <c r="L1" s="1044"/>
      <c r="M1" s="1044"/>
      <c r="N1" s="162"/>
      <c r="O1" s="406"/>
    </row>
    <row r="2" spans="1:16" ht="13.35" customHeight="1" x14ac:dyDescent="0.25">
      <c r="A2" s="355" t="str">
        <f>desc</f>
        <v>Description</v>
      </c>
      <c r="B2" s="895"/>
      <c r="C2" s="1045" t="str">
        <f>Head2</f>
        <v>Budget Year 2019/20</v>
      </c>
      <c r="D2" s="1046"/>
      <c r="E2" s="1046"/>
      <c r="F2" s="1046"/>
      <c r="G2" s="1046"/>
      <c r="H2" s="1046"/>
      <c r="I2" s="1046"/>
      <c r="J2" s="1046"/>
      <c r="K2" s="1046"/>
      <c r="L2" s="1046"/>
      <c r="M2" s="1046"/>
      <c r="N2" s="1047"/>
      <c r="O2" s="912"/>
    </row>
    <row r="3" spans="1:16" ht="52.5" customHeight="1" x14ac:dyDescent="0.25">
      <c r="A3" s="901" t="s">
        <v>674</v>
      </c>
      <c r="B3" s="894" t="s">
        <v>743</v>
      </c>
      <c r="C3" s="897" t="s">
        <v>13</v>
      </c>
      <c r="D3" s="898" t="s">
        <v>14</v>
      </c>
      <c r="E3" s="898" t="s">
        <v>15</v>
      </c>
      <c r="F3" s="898" t="s">
        <v>16</v>
      </c>
      <c r="G3" s="898" t="s">
        <v>17</v>
      </c>
      <c r="H3" s="898" t="s">
        <v>18</v>
      </c>
      <c r="I3" s="898" t="s">
        <v>19</v>
      </c>
      <c r="J3" s="899" t="s">
        <v>20</v>
      </c>
      <c r="K3" s="900" t="s">
        <v>56</v>
      </c>
      <c r="L3" s="900" t="s">
        <v>1113</v>
      </c>
      <c r="M3" s="900" t="s">
        <v>1114</v>
      </c>
      <c r="N3" s="900"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129131934.93000001</v>
      </c>
      <c r="D5" s="734">
        <v>160522.29999999999</v>
      </c>
      <c r="E5" s="734">
        <v>32045006.739999998</v>
      </c>
      <c r="F5" s="734">
        <v>33681660.109999999</v>
      </c>
      <c r="G5" s="734">
        <v>33861654.710000001</v>
      </c>
      <c r="H5" s="734">
        <v>31120867.629999999</v>
      </c>
      <c r="I5" s="734">
        <v>185029055.02000001</v>
      </c>
      <c r="J5" s="745">
        <v>1165286342.46</v>
      </c>
      <c r="K5" s="134">
        <f>SUM(C5:J5)</f>
        <v>1610317043.9000001</v>
      </c>
      <c r="L5" s="134">
        <f>SUM(F5:J5)</f>
        <v>1448979579.9300001</v>
      </c>
      <c r="M5" s="748"/>
      <c r="N5" s="748">
        <v>901430113.23000002</v>
      </c>
      <c r="O5" s="913"/>
    </row>
    <row r="6" spans="1:16" ht="12.75" customHeight="1" x14ac:dyDescent="0.25">
      <c r="A6" s="39" t="s">
        <v>1092</v>
      </c>
      <c r="B6" s="169">
        <v>1300</v>
      </c>
      <c r="C6" s="746">
        <v>270097517.89999998</v>
      </c>
      <c r="D6" s="734">
        <v>-7095366.2300000004</v>
      </c>
      <c r="E6" s="734">
        <v>12299323.59</v>
      </c>
      <c r="F6" s="734">
        <v>8779701.6899999995</v>
      </c>
      <c r="G6" s="734">
        <v>7366395.5899999999</v>
      </c>
      <c r="H6" s="734">
        <v>5289738.4000000004</v>
      </c>
      <c r="I6" s="734">
        <v>27565475.77</v>
      </c>
      <c r="J6" s="745">
        <v>105514173.73999999</v>
      </c>
      <c r="K6" s="134">
        <f>SUM(C6:J6)</f>
        <v>429816960.44999993</v>
      </c>
      <c r="L6" s="134">
        <f t="shared" ref="L6:L12" si="0">SUM(F6:J6)</f>
        <v>154515485.19</v>
      </c>
      <c r="M6" s="748"/>
      <c r="N6" s="748">
        <v>79333714.290000007</v>
      </c>
      <c r="O6" s="913"/>
    </row>
    <row r="7" spans="1:16" ht="12.75" customHeight="1" x14ac:dyDescent="0.25">
      <c r="A7" s="39" t="s">
        <v>1091</v>
      </c>
      <c r="B7" s="169">
        <v>1400</v>
      </c>
      <c r="C7" s="746">
        <v>179513839.34</v>
      </c>
      <c r="D7" s="734">
        <v>-301035.94</v>
      </c>
      <c r="E7" s="734">
        <v>39368759.18</v>
      </c>
      <c r="F7" s="734">
        <v>24775281.440000001</v>
      </c>
      <c r="G7" s="734">
        <v>23125022.800000001</v>
      </c>
      <c r="H7" s="734">
        <v>22502907.27</v>
      </c>
      <c r="I7" s="734">
        <v>124521775.37</v>
      </c>
      <c r="J7" s="745">
        <v>492384318.99000001</v>
      </c>
      <c r="K7" s="134">
        <f t="shared" ref="K7:K13" si="1">SUM(C7:J7)</f>
        <v>905890868.45000005</v>
      </c>
      <c r="L7" s="134">
        <f t="shared" si="0"/>
        <v>687309305.87</v>
      </c>
      <c r="M7" s="748"/>
      <c r="N7" s="748">
        <v>376696052.92000002</v>
      </c>
      <c r="O7" s="913"/>
    </row>
    <row r="8" spans="1:16" ht="12.75" customHeight="1" x14ac:dyDescent="0.25">
      <c r="A8" s="39" t="s">
        <v>1093</v>
      </c>
      <c r="B8" s="169">
        <v>1500</v>
      </c>
      <c r="C8" s="746">
        <v>30985413.829999998</v>
      </c>
      <c r="D8" s="734">
        <v>-156639.31</v>
      </c>
      <c r="E8" s="734">
        <v>5550773.0099999998</v>
      </c>
      <c r="F8" s="734">
        <v>5668164.4500000002</v>
      </c>
      <c r="G8" s="734">
        <v>5036499.1399999997</v>
      </c>
      <c r="H8" s="734">
        <v>4604920.7</v>
      </c>
      <c r="I8" s="734">
        <v>28940955.859999999</v>
      </c>
      <c r="J8" s="745">
        <v>219113953.66</v>
      </c>
      <c r="K8" s="134">
        <f t="shared" si="1"/>
        <v>299744041.34000003</v>
      </c>
      <c r="L8" s="134">
        <f t="shared" si="0"/>
        <v>263364493.81</v>
      </c>
      <c r="M8" s="748"/>
      <c r="N8" s="748">
        <v>176502749.62</v>
      </c>
      <c r="O8" s="913"/>
    </row>
    <row r="9" spans="1:16" ht="12.75" customHeight="1" x14ac:dyDescent="0.25">
      <c r="A9" s="39" t="s">
        <v>1094</v>
      </c>
      <c r="B9" s="169">
        <v>1600</v>
      </c>
      <c r="C9" s="746">
        <v>16734084.689999999</v>
      </c>
      <c r="D9" s="734">
        <v>-16599.05</v>
      </c>
      <c r="E9" s="734">
        <v>3151929.84</v>
      </c>
      <c r="F9" s="734">
        <v>3818385.41</v>
      </c>
      <c r="G9" s="734">
        <v>2969954.79</v>
      </c>
      <c r="H9" s="734">
        <v>2626130.81</v>
      </c>
      <c r="I9" s="734">
        <v>19490461.100000001</v>
      </c>
      <c r="J9" s="745">
        <v>124335878.40000001</v>
      </c>
      <c r="K9" s="134">
        <f t="shared" si="1"/>
        <v>173110225.99000001</v>
      </c>
      <c r="L9" s="134">
        <f>SUM(F9:J9)</f>
        <v>153240810.50999999</v>
      </c>
      <c r="M9" s="748"/>
      <c r="N9" s="748">
        <v>95996728.560000002</v>
      </c>
      <c r="O9" s="913"/>
    </row>
    <row r="10" spans="1:16" ht="12.75" customHeight="1" x14ac:dyDescent="0.25">
      <c r="A10" s="39" t="s">
        <v>1095</v>
      </c>
      <c r="B10" s="169">
        <v>1700</v>
      </c>
      <c r="C10" s="746">
        <v>12036983.439999999</v>
      </c>
      <c r="D10" s="734">
        <v>3083817.18</v>
      </c>
      <c r="E10" s="734">
        <v>872654.63</v>
      </c>
      <c r="F10" s="734">
        <v>80563.03</v>
      </c>
      <c r="G10" s="734">
        <v>1940605.87</v>
      </c>
      <c r="H10" s="734">
        <v>92087.59</v>
      </c>
      <c r="I10" s="734">
        <v>8368522.29</v>
      </c>
      <c r="J10" s="745">
        <v>37058393.609999999</v>
      </c>
      <c r="K10" s="134">
        <f t="shared" si="1"/>
        <v>63533627.640000001</v>
      </c>
      <c r="L10" s="134">
        <f>SUM(F10:J10)</f>
        <v>47540172.390000001</v>
      </c>
      <c r="M10" s="748"/>
      <c r="N10" s="748">
        <v>31192182.890000001</v>
      </c>
      <c r="O10" s="913"/>
    </row>
    <row r="11" spans="1:16" ht="12.75" customHeight="1" x14ac:dyDescent="0.25">
      <c r="A11" s="39" t="s">
        <v>1096</v>
      </c>
      <c r="B11" s="169">
        <v>1810</v>
      </c>
      <c r="C11" s="746">
        <v>65263216.18</v>
      </c>
      <c r="D11" s="734"/>
      <c r="E11" s="734">
        <v>24365475.030000001</v>
      </c>
      <c r="F11" s="734">
        <v>24116435.07</v>
      </c>
      <c r="G11" s="734">
        <v>23244880.91</v>
      </c>
      <c r="H11" s="734">
        <v>23141576.710000001</v>
      </c>
      <c r="I11" s="734">
        <v>139880306.49000001</v>
      </c>
      <c r="J11" s="745">
        <v>366712458.45999998</v>
      </c>
      <c r="K11" s="134">
        <f t="shared" si="1"/>
        <v>666724348.8499999</v>
      </c>
      <c r="L11" s="134">
        <f t="shared" si="0"/>
        <v>577095657.63999999</v>
      </c>
      <c r="M11" s="748"/>
      <c r="N11" s="748">
        <v>147006546.09999999</v>
      </c>
      <c r="O11" s="913"/>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3"/>
      <c r="P12" s="96"/>
    </row>
    <row r="13" spans="1:16" ht="12.75" customHeight="1" x14ac:dyDescent="0.25">
      <c r="A13" s="39" t="s">
        <v>727</v>
      </c>
      <c r="B13" s="169">
        <v>1900</v>
      </c>
      <c r="C13" s="746">
        <v>837784.59</v>
      </c>
      <c r="D13" s="734"/>
      <c r="E13" s="734">
        <v>28883.61</v>
      </c>
      <c r="F13" s="734">
        <v>100834.53</v>
      </c>
      <c r="G13" s="734">
        <v>72099.360000000001</v>
      </c>
      <c r="H13" s="734">
        <v>37889.9</v>
      </c>
      <c r="I13" s="734">
        <v>426737.44</v>
      </c>
      <c r="J13" s="745">
        <v>321547074.11000001</v>
      </c>
      <c r="K13" s="134">
        <f t="shared" si="1"/>
        <v>323051303.54000002</v>
      </c>
      <c r="L13" s="134">
        <f>SUM(F13:J13)</f>
        <v>322184635.34000003</v>
      </c>
      <c r="M13" s="748"/>
      <c r="N13" s="748">
        <v>320978290.33999997</v>
      </c>
      <c r="O13" s="913"/>
    </row>
    <row r="14" spans="1:16" ht="12.75" customHeight="1" x14ac:dyDescent="0.25">
      <c r="A14" s="53" t="s">
        <v>1098</v>
      </c>
      <c r="B14" s="284">
        <v>2000</v>
      </c>
      <c r="C14" s="56">
        <f t="shared" ref="C14:N14" si="2">SUM(C5:C13)</f>
        <v>704600774.9000001</v>
      </c>
      <c r="D14" s="55">
        <f t="shared" si="2"/>
        <v>-4325301.0500000007</v>
      </c>
      <c r="E14" s="55">
        <f t="shared" si="2"/>
        <v>117682805.63</v>
      </c>
      <c r="F14" s="55">
        <f t="shared" si="2"/>
        <v>101021025.72999999</v>
      </c>
      <c r="G14" s="55">
        <f t="shared" si="2"/>
        <v>97617113.170000002</v>
      </c>
      <c r="H14" s="55">
        <f t="shared" si="2"/>
        <v>89416119.01000002</v>
      </c>
      <c r="I14" s="55">
        <f t="shared" si="2"/>
        <v>534223289.34000009</v>
      </c>
      <c r="J14" s="83">
        <f t="shared" si="2"/>
        <v>2831952593.4300003</v>
      </c>
      <c r="K14" s="112">
        <f t="shared" si="2"/>
        <v>4472188420.1599998</v>
      </c>
      <c r="L14" s="112">
        <f>SUM(L5:L13)</f>
        <v>3654230140.6800003</v>
      </c>
      <c r="M14" s="54">
        <f t="shared" si="2"/>
        <v>0</v>
      </c>
      <c r="N14" s="54">
        <f t="shared" si="2"/>
        <v>2129136377.9499998</v>
      </c>
      <c r="O14" s="914"/>
    </row>
    <row r="15" spans="1:16" ht="12.75" customHeight="1" x14ac:dyDescent="0.25">
      <c r="A15" s="313" t="str">
        <f>Head1&amp;" - totals only"</f>
        <v>2018/19 - totals only</v>
      </c>
      <c r="B15" s="367"/>
      <c r="C15" s="986">
        <v>620166130</v>
      </c>
      <c r="D15" s="986">
        <v>13068120</v>
      </c>
      <c r="E15" s="986">
        <v>83497768</v>
      </c>
      <c r="F15" s="986">
        <v>70197107</v>
      </c>
      <c r="G15" s="986">
        <v>131018947</v>
      </c>
      <c r="H15" s="986">
        <v>19543355</v>
      </c>
      <c r="I15" s="986">
        <v>414385957</v>
      </c>
      <c r="J15" s="986">
        <v>2208223072</v>
      </c>
      <c r="K15" s="796">
        <f>SUM(C15:J15)</f>
        <v>3560100456</v>
      </c>
      <c r="L15" s="368">
        <f>SUM(F15:J15)</f>
        <v>2843368438</v>
      </c>
      <c r="M15" s="795"/>
      <c r="N15" s="986">
        <v>1650722031</v>
      </c>
      <c r="O15" s="49"/>
    </row>
    <row r="16" spans="1:16" ht="12.75" customHeight="1" x14ac:dyDescent="0.25">
      <c r="A16" s="87" t="s">
        <v>1102</v>
      </c>
      <c r="B16" s="169"/>
      <c r="C16" s="46"/>
      <c r="D16" s="44"/>
      <c r="E16" s="44"/>
      <c r="F16" s="44"/>
      <c r="G16" s="44"/>
      <c r="H16" s="44"/>
      <c r="I16" s="44"/>
      <c r="J16" s="108"/>
      <c r="K16" s="134"/>
      <c r="L16" s="646"/>
      <c r="M16" s="45"/>
      <c r="N16" s="896"/>
    </row>
    <row r="17" spans="1:14" ht="12.75" customHeight="1" x14ac:dyDescent="0.25">
      <c r="A17" s="39" t="s">
        <v>1099</v>
      </c>
      <c r="B17" s="169">
        <v>2200</v>
      </c>
      <c r="C17" s="746">
        <v>276632088.55000001</v>
      </c>
      <c r="D17" s="734">
        <v>-1177981.19</v>
      </c>
      <c r="E17" s="734">
        <v>21184080.120000001</v>
      </c>
      <c r="F17" s="734">
        <v>17825686.149999999</v>
      </c>
      <c r="G17" s="734">
        <v>15024608.09</v>
      </c>
      <c r="H17" s="734">
        <v>12859953.640000001</v>
      </c>
      <c r="I17" s="734">
        <v>80491486.370000005</v>
      </c>
      <c r="J17" s="745">
        <v>258838423.75999999</v>
      </c>
      <c r="K17" s="134">
        <f>SUM(C17:J17)</f>
        <v>681678345.49000001</v>
      </c>
      <c r="L17" s="646">
        <f>SUM(F17:J17)</f>
        <v>385040158.00999999</v>
      </c>
      <c r="M17" s="748"/>
      <c r="N17" s="749">
        <v>182017413.86000001</v>
      </c>
    </row>
    <row r="18" spans="1:14" ht="12.75" customHeight="1" x14ac:dyDescent="0.25">
      <c r="A18" s="39" t="s">
        <v>1100</v>
      </c>
      <c r="B18" s="169">
        <v>2300</v>
      </c>
      <c r="C18" s="746">
        <v>64336549.729999997</v>
      </c>
      <c r="D18" s="734">
        <v>-138367.25</v>
      </c>
      <c r="E18" s="734">
        <v>14595597.470000001</v>
      </c>
      <c r="F18" s="734">
        <v>5637715.5099999998</v>
      </c>
      <c r="G18" s="734">
        <v>5134276.2</v>
      </c>
      <c r="H18" s="734">
        <v>1876529.4</v>
      </c>
      <c r="I18" s="734">
        <v>18296730.399999999</v>
      </c>
      <c r="J18" s="745">
        <v>97637195.049999997</v>
      </c>
      <c r="K18" s="134">
        <f>SUM(C18:J18)</f>
        <v>207376226.50999999</v>
      </c>
      <c r="L18" s="646">
        <f>SUM(F18:J18)</f>
        <v>128582446.56</v>
      </c>
      <c r="M18" s="748"/>
      <c r="N18" s="749">
        <v>65077279.25</v>
      </c>
    </row>
    <row r="19" spans="1:14" ht="12.75" customHeight="1" x14ac:dyDescent="0.25">
      <c r="A19" s="39" t="s">
        <v>692</v>
      </c>
      <c r="B19" s="169">
        <v>2400</v>
      </c>
      <c r="C19" s="746">
        <v>337764200.80000001</v>
      </c>
      <c r="D19" s="734">
        <v>-2954343.77</v>
      </c>
      <c r="E19" s="734">
        <v>75381306.280000001</v>
      </c>
      <c r="F19" s="734">
        <v>70636196.209999993</v>
      </c>
      <c r="G19" s="734">
        <v>70641651.780000001</v>
      </c>
      <c r="H19" s="734">
        <v>68537816.769999996</v>
      </c>
      <c r="I19" s="734">
        <v>401293876.70999998</v>
      </c>
      <c r="J19" s="745">
        <v>2268411346.8800001</v>
      </c>
      <c r="K19" s="134">
        <f>SUM(C19:J19)</f>
        <v>3289712051.6599998</v>
      </c>
      <c r="L19" s="646">
        <f>SUM(F19:J19)</f>
        <v>2879520888.3500004</v>
      </c>
      <c r="M19" s="748"/>
      <c r="N19" s="749">
        <v>1715577460.1199999</v>
      </c>
    </row>
    <row r="20" spans="1:14" ht="12.75" customHeight="1" x14ac:dyDescent="0.25">
      <c r="A20" s="39" t="s">
        <v>727</v>
      </c>
      <c r="B20" s="169">
        <v>2500</v>
      </c>
      <c r="C20" s="746">
        <v>25867935.82</v>
      </c>
      <c r="D20" s="734">
        <v>-54608.84</v>
      </c>
      <c r="E20" s="734">
        <v>6521821.7599999998</v>
      </c>
      <c r="F20" s="734">
        <v>6921427.8600000003</v>
      </c>
      <c r="G20" s="734">
        <v>6816577.0999999996</v>
      </c>
      <c r="H20" s="734">
        <v>6141819.2000000002</v>
      </c>
      <c r="I20" s="734">
        <v>34141195.859999999</v>
      </c>
      <c r="J20" s="745">
        <v>207065627.74000001</v>
      </c>
      <c r="K20" s="134">
        <f>SUM(C20:J20)</f>
        <v>293421796.5</v>
      </c>
      <c r="L20" s="646">
        <f>SUM(F20:J20)</f>
        <v>261086647.75999999</v>
      </c>
      <c r="M20" s="748"/>
      <c r="N20" s="750">
        <v>166464224.72</v>
      </c>
    </row>
    <row r="21" spans="1:14" ht="12.75" customHeight="1" x14ac:dyDescent="0.25">
      <c r="A21" s="53" t="s">
        <v>1103</v>
      </c>
      <c r="B21" s="284">
        <v>2600</v>
      </c>
      <c r="C21" s="56">
        <f t="shared" ref="C21:I21" si="3">SUM(C17:C20)</f>
        <v>704600774.9000001</v>
      </c>
      <c r="D21" s="55">
        <f t="shared" si="3"/>
        <v>-4325301.05</v>
      </c>
      <c r="E21" s="55">
        <f t="shared" si="3"/>
        <v>117682805.63000001</v>
      </c>
      <c r="F21" s="55">
        <f t="shared" si="3"/>
        <v>101021025.72999999</v>
      </c>
      <c r="G21" s="55">
        <f t="shared" si="3"/>
        <v>97617113.169999987</v>
      </c>
      <c r="H21" s="55">
        <f t="shared" si="3"/>
        <v>89416119.010000005</v>
      </c>
      <c r="I21" s="55">
        <f t="shared" si="3"/>
        <v>534223289.34000003</v>
      </c>
      <c r="J21" s="83">
        <f>SUM(J17:J20)</f>
        <v>2831952593.4300003</v>
      </c>
      <c r="K21" s="112">
        <f>SUM(K17:K20)</f>
        <v>4472188420.1599998</v>
      </c>
      <c r="L21" s="915">
        <f>SUM(L17:L20)</f>
        <v>3654230140.6800003</v>
      </c>
      <c r="M21" s="54">
        <f>SUM(M17:M20)</f>
        <v>0</v>
      </c>
      <c r="N21" s="244">
        <f>SUM(N17:N20)</f>
        <v>2129136377.95</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U22" sqref="U22"/>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16</v>
      </c>
    </row>
    <row r="11" spans="4:25" x14ac:dyDescent="0.2">
      <c r="W11" s="647" t="s">
        <v>877</v>
      </c>
      <c r="X11" s="702" t="str">
        <f>VLOOKUP(X10,W39:X55,2)</f>
        <v>Q4 Fourth Quarter</v>
      </c>
      <c r="Y11" s="903">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2"/>
    </row>
    <row r="40" spans="22:25" x14ac:dyDescent="0.2">
      <c r="W40" s="647">
        <v>2</v>
      </c>
      <c r="X40" s="647" t="s">
        <v>873</v>
      </c>
      <c r="Y40" s="902"/>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E20" sqref="E20"/>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7" t="str">
        <f>muni&amp; " - "&amp;S71J&amp; " - "&amp;Head57</f>
        <v>KZN225 Msunduzi - Supporting Table SC4 Monthly Budget Statement - aged creditors  - Q4 Fourth Quarter</v>
      </c>
      <c r="B1" s="1037"/>
      <c r="C1" s="1037"/>
      <c r="D1" s="1037"/>
      <c r="E1" s="1037"/>
      <c r="F1" s="1037"/>
      <c r="G1" s="1037"/>
      <c r="H1" s="1037"/>
      <c r="I1" s="1037"/>
      <c r="J1" s="1037"/>
      <c r="K1" s="1037"/>
    </row>
    <row r="2" spans="1:12" ht="12.75" customHeight="1" x14ac:dyDescent="0.25">
      <c r="A2" s="1026" t="str">
        <f>desc</f>
        <v>Description</v>
      </c>
      <c r="B2" s="1058" t="s">
        <v>743</v>
      </c>
      <c r="C2" s="137" t="str">
        <f>Head2</f>
        <v>Budget Year 2019/20</v>
      </c>
      <c r="D2" s="137"/>
      <c r="E2" s="137"/>
      <c r="F2" s="137"/>
      <c r="G2" s="137"/>
      <c r="H2" s="137"/>
      <c r="I2" s="137"/>
      <c r="J2" s="137"/>
      <c r="K2" s="138"/>
      <c r="L2" s="1048" t="s">
        <v>78</v>
      </c>
    </row>
    <row r="3" spans="1:12" ht="12.75" customHeight="1" x14ac:dyDescent="0.25">
      <c r="A3" s="1057"/>
      <c r="B3" s="1059"/>
      <c r="C3" s="1060" t="s">
        <v>735</v>
      </c>
      <c r="D3" s="1051" t="s">
        <v>736</v>
      </c>
      <c r="E3" s="1051" t="s">
        <v>737</v>
      </c>
      <c r="F3" s="1051" t="s">
        <v>738</v>
      </c>
      <c r="G3" s="1051" t="s">
        <v>739</v>
      </c>
      <c r="H3" s="1051" t="s">
        <v>740</v>
      </c>
      <c r="I3" s="1051" t="s">
        <v>741</v>
      </c>
      <c r="J3" s="1053" t="s">
        <v>742</v>
      </c>
      <c r="K3" s="1055" t="s">
        <v>513</v>
      </c>
      <c r="L3" s="1049"/>
    </row>
    <row r="4" spans="1:12" ht="12.75" customHeight="1" x14ac:dyDescent="0.25">
      <c r="A4" s="34" t="s">
        <v>674</v>
      </c>
      <c r="B4" s="1056"/>
      <c r="C4" s="1061"/>
      <c r="D4" s="1052"/>
      <c r="E4" s="1052"/>
      <c r="F4" s="1052"/>
      <c r="G4" s="1052"/>
      <c r="H4" s="1052"/>
      <c r="I4" s="1052"/>
      <c r="J4" s="1054"/>
      <c r="K4" s="1056"/>
      <c r="L4" s="1050"/>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383516062.98000002</v>
      </c>
      <c r="D6" s="734"/>
      <c r="E6" s="734"/>
      <c r="F6" s="734"/>
      <c r="G6" s="734"/>
      <c r="H6" s="734"/>
      <c r="I6" s="734"/>
      <c r="J6" s="736"/>
      <c r="K6" s="109">
        <f>SUM(C6:J6)</f>
        <v>383516062.98000002</v>
      </c>
      <c r="L6" s="749">
        <v>209470837</v>
      </c>
    </row>
    <row r="7" spans="1:12" ht="12.75" customHeight="1" x14ac:dyDescent="0.25">
      <c r="A7" s="39" t="s">
        <v>695</v>
      </c>
      <c r="B7" s="169" t="s">
        <v>696</v>
      </c>
      <c r="C7" s="754">
        <v>199793607.49000001</v>
      </c>
      <c r="D7" s="734"/>
      <c r="E7" s="734"/>
      <c r="F7" s="734"/>
      <c r="G7" s="734"/>
      <c r="H7" s="734"/>
      <c r="I7" s="734"/>
      <c r="J7" s="736"/>
      <c r="K7" s="109">
        <f t="shared" ref="K7:K13" si="0">SUM(C7:J7)</f>
        <v>199793607.49000001</v>
      </c>
      <c r="L7" s="749">
        <v>77149902</v>
      </c>
    </row>
    <row r="8" spans="1:12" ht="12.75" customHeight="1" x14ac:dyDescent="0.25">
      <c r="A8" s="39" t="s">
        <v>697</v>
      </c>
      <c r="B8" s="169" t="s">
        <v>698</v>
      </c>
      <c r="C8" s="754"/>
      <c r="D8" s="734"/>
      <c r="E8" s="734"/>
      <c r="F8" s="734"/>
      <c r="G8" s="734"/>
      <c r="H8" s="734"/>
      <c r="I8" s="734"/>
      <c r="J8" s="736"/>
      <c r="K8" s="109">
        <f t="shared" si="0"/>
        <v>0</v>
      </c>
      <c r="L8" s="749"/>
    </row>
    <row r="9" spans="1:12" ht="12.75" customHeight="1" x14ac:dyDescent="0.25">
      <c r="A9" s="39" t="s">
        <v>598</v>
      </c>
      <c r="B9" s="169" t="s">
        <v>599</v>
      </c>
      <c r="C9" s="754">
        <v>177794476.61000001</v>
      </c>
      <c r="D9" s="734"/>
      <c r="E9" s="734"/>
      <c r="F9" s="734"/>
      <c r="G9" s="734"/>
      <c r="H9" s="734"/>
      <c r="I9" s="734"/>
      <c r="J9" s="736"/>
      <c r="K9" s="109">
        <f t="shared" si="0"/>
        <v>177794476.61000001</v>
      </c>
      <c r="L9" s="749">
        <v>145670375</v>
      </c>
    </row>
    <row r="10" spans="1:12" ht="12.75" customHeight="1" x14ac:dyDescent="0.25">
      <c r="A10" s="39" t="s">
        <v>600</v>
      </c>
      <c r="B10" s="169" t="s">
        <v>601</v>
      </c>
      <c r="C10" s="754"/>
      <c r="D10" s="734"/>
      <c r="E10" s="734"/>
      <c r="F10" s="734"/>
      <c r="G10" s="734"/>
      <c r="H10" s="734"/>
      <c r="I10" s="734"/>
      <c r="J10" s="736"/>
      <c r="K10" s="109">
        <f t="shared" si="0"/>
        <v>0</v>
      </c>
      <c r="L10" s="749"/>
    </row>
    <row r="11" spans="1:12" ht="12.75" customHeight="1" x14ac:dyDescent="0.25">
      <c r="A11" s="39" t="s">
        <v>602</v>
      </c>
      <c r="B11" s="169" t="s">
        <v>603</v>
      </c>
      <c r="C11" s="754"/>
      <c r="D11" s="734"/>
      <c r="E11" s="734"/>
      <c r="F11" s="734"/>
      <c r="G11" s="734"/>
      <c r="H11" s="734"/>
      <c r="I11" s="734"/>
      <c r="J11" s="736"/>
      <c r="K11" s="109">
        <f t="shared" si="0"/>
        <v>0</v>
      </c>
      <c r="L11" s="749"/>
    </row>
    <row r="12" spans="1:12" ht="12.75" customHeight="1" x14ac:dyDescent="0.25">
      <c r="A12" s="39" t="s">
        <v>604</v>
      </c>
      <c r="B12" s="169" t="s">
        <v>605</v>
      </c>
      <c r="C12" s="754">
        <v>17890539.68</v>
      </c>
      <c r="D12" s="734">
        <v>105783219.20999999</v>
      </c>
      <c r="E12" s="734">
        <v>12458030.119999999</v>
      </c>
      <c r="F12" s="734">
        <v>1348072.8</v>
      </c>
      <c r="G12" s="734">
        <v>111454.75</v>
      </c>
      <c r="H12" s="734">
        <v>22968.29</v>
      </c>
      <c r="I12" s="734">
        <v>20273.8</v>
      </c>
      <c r="J12" s="736">
        <v>1490406.67</v>
      </c>
      <c r="K12" s="109">
        <f t="shared" si="0"/>
        <v>139124965.31999999</v>
      </c>
      <c r="L12" s="749">
        <v>201489432</v>
      </c>
    </row>
    <row r="13" spans="1:12" ht="12.75" customHeight="1" x14ac:dyDescent="0.25">
      <c r="A13" s="39" t="s">
        <v>606</v>
      </c>
      <c r="B13" s="169" t="s">
        <v>607</v>
      </c>
      <c r="C13" s="754">
        <v>444019.49</v>
      </c>
      <c r="D13" s="734"/>
      <c r="E13" s="734"/>
      <c r="F13" s="734"/>
      <c r="G13" s="734"/>
      <c r="H13" s="734"/>
      <c r="I13" s="734"/>
      <c r="J13" s="736"/>
      <c r="K13" s="109">
        <f t="shared" si="0"/>
        <v>444019.49</v>
      </c>
      <c r="L13" s="749"/>
    </row>
    <row r="14" spans="1:12" ht="12.75" customHeight="1" x14ac:dyDescent="0.25">
      <c r="A14" s="39" t="s">
        <v>727</v>
      </c>
      <c r="B14" s="169" t="s">
        <v>608</v>
      </c>
      <c r="C14" s="754">
        <v>488555913.69</v>
      </c>
      <c r="D14" s="734"/>
      <c r="E14" s="734"/>
      <c r="F14" s="734"/>
      <c r="G14" s="734"/>
      <c r="H14" s="734"/>
      <c r="I14" s="734"/>
      <c r="J14" s="736"/>
      <c r="K14" s="109">
        <f>SUM(C14:J14)</f>
        <v>488555913.69</v>
      </c>
      <c r="L14" s="749">
        <v>356936386</v>
      </c>
    </row>
    <row r="15" spans="1:12" ht="12.75" customHeight="1" x14ac:dyDescent="0.25">
      <c r="A15" s="53" t="s">
        <v>932</v>
      </c>
      <c r="B15" s="284">
        <v>1000</v>
      </c>
      <c r="C15" s="271">
        <f>SUM(C6:C14)</f>
        <v>1267994619.9400001</v>
      </c>
      <c r="D15" s="55">
        <f t="shared" ref="D15:J15" si="1">SUM(D6:D14)</f>
        <v>105783219.20999999</v>
      </c>
      <c r="E15" s="55">
        <f t="shared" si="1"/>
        <v>12458030.119999999</v>
      </c>
      <c r="F15" s="55">
        <f t="shared" si="1"/>
        <v>1348072.8</v>
      </c>
      <c r="G15" s="55">
        <f t="shared" si="1"/>
        <v>111454.75</v>
      </c>
      <c r="H15" s="55">
        <f t="shared" si="1"/>
        <v>22968.29</v>
      </c>
      <c r="I15" s="55">
        <f t="shared" si="1"/>
        <v>20273.8</v>
      </c>
      <c r="J15" s="235">
        <f t="shared" si="1"/>
        <v>1490406.67</v>
      </c>
      <c r="K15" s="112">
        <f>SUM(K6:K14)</f>
        <v>1389229045.5800002</v>
      </c>
      <c r="L15" s="160">
        <f>SUM(L6:L14)</f>
        <v>990716932</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K19" sqref="K19"/>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7" t="str">
        <f>muni&amp; " - "&amp;S71K&amp; " - "&amp;Head57</f>
        <v>KZN225 Msunduzi - Supporting Table SC5 Monthly Budget Statement - investment portfolio  - Q4 Fourth Quarter</v>
      </c>
      <c r="B1" s="1037"/>
      <c r="C1" s="1037"/>
      <c r="D1" s="1037"/>
      <c r="E1" s="1037"/>
      <c r="F1" s="1037"/>
      <c r="G1" s="1037"/>
      <c r="H1" s="1037"/>
      <c r="I1" s="1037"/>
      <c r="J1" s="1037"/>
      <c r="K1" s="67"/>
    </row>
    <row r="2" spans="1:15" ht="54" customHeight="1" x14ac:dyDescent="0.25">
      <c r="A2" s="270" t="s">
        <v>906</v>
      </c>
      <c r="B2" s="1058" t="s">
        <v>577</v>
      </c>
      <c r="C2" s="26" t="s">
        <v>130</v>
      </c>
      <c r="D2" s="1064" t="s">
        <v>614</v>
      </c>
      <c r="E2" s="949" t="s">
        <v>1369</v>
      </c>
      <c r="F2" s="949" t="s">
        <v>1370</v>
      </c>
      <c r="G2" s="949" t="s">
        <v>1371</v>
      </c>
      <c r="H2" s="949" t="s">
        <v>1372</v>
      </c>
      <c r="I2" s="949" t="s">
        <v>1373</v>
      </c>
      <c r="J2" s="1066" t="s">
        <v>615</v>
      </c>
      <c r="K2" s="149" t="s">
        <v>1374</v>
      </c>
      <c r="L2" s="142" t="s">
        <v>1375</v>
      </c>
      <c r="M2" s="26" t="s">
        <v>1376</v>
      </c>
      <c r="N2" s="26" t="s">
        <v>1377</v>
      </c>
      <c r="O2" s="142" t="s">
        <v>1378</v>
      </c>
    </row>
    <row r="3" spans="1:15" ht="12.75" customHeight="1" x14ac:dyDescent="0.25">
      <c r="A3" s="34" t="s">
        <v>674</v>
      </c>
      <c r="B3" s="1056"/>
      <c r="C3" s="413" t="s">
        <v>131</v>
      </c>
      <c r="D3" s="1065"/>
      <c r="E3" s="950"/>
      <c r="F3" s="950"/>
      <c r="G3" s="950"/>
      <c r="H3" s="950"/>
      <c r="I3" s="950"/>
      <c r="J3" s="1054"/>
      <c r="K3" s="1062"/>
      <c r="L3" s="1062"/>
      <c r="M3" s="1062"/>
      <c r="N3" s="1062"/>
      <c r="O3" s="1063"/>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1"/>
      <c r="D5" s="952"/>
      <c r="E5" s="952"/>
      <c r="F5" s="952"/>
      <c r="G5" s="952"/>
      <c r="H5" s="952"/>
      <c r="I5" s="952"/>
      <c r="J5" s="953"/>
      <c r="K5" s="954">
        <v>368175090.39999998</v>
      </c>
      <c r="L5" s="955">
        <v>6072139.3600000003</v>
      </c>
      <c r="M5" s="956">
        <v>-94207758.609999999</v>
      </c>
      <c r="N5" s="956">
        <v>154941216.06</v>
      </c>
      <c r="O5" s="957">
        <f t="shared" ref="O5:O11" si="0">SUM(K5:N5)</f>
        <v>434980687.20999998</v>
      </c>
    </row>
    <row r="6" spans="1:15" ht="12.75" customHeight="1" x14ac:dyDescent="0.25">
      <c r="A6" s="777"/>
      <c r="B6" s="169"/>
      <c r="C6" s="951"/>
      <c r="D6" s="952"/>
      <c r="E6" s="952"/>
      <c r="F6" s="952"/>
      <c r="G6" s="952"/>
      <c r="H6" s="952"/>
      <c r="I6" s="952"/>
      <c r="J6" s="953"/>
      <c r="K6" s="954"/>
      <c r="L6" s="955"/>
      <c r="M6" s="956"/>
      <c r="N6" s="956"/>
      <c r="O6" s="957">
        <f t="shared" si="0"/>
        <v>0</v>
      </c>
    </row>
    <row r="7" spans="1:15" ht="12.75" customHeight="1" x14ac:dyDescent="0.25">
      <c r="A7" s="777"/>
      <c r="B7" s="169"/>
      <c r="C7" s="951"/>
      <c r="D7" s="952"/>
      <c r="E7" s="952"/>
      <c r="F7" s="952"/>
      <c r="G7" s="952"/>
      <c r="H7" s="952"/>
      <c r="I7" s="952"/>
      <c r="J7" s="953"/>
      <c r="K7" s="954"/>
      <c r="L7" s="955"/>
      <c r="M7" s="956"/>
      <c r="N7" s="956"/>
      <c r="O7" s="957">
        <f t="shared" si="0"/>
        <v>0</v>
      </c>
    </row>
    <row r="8" spans="1:15" ht="12.75" customHeight="1" x14ac:dyDescent="0.25">
      <c r="A8" s="777"/>
      <c r="B8" s="169"/>
      <c r="C8" s="951"/>
      <c r="D8" s="952"/>
      <c r="E8" s="952"/>
      <c r="F8" s="952"/>
      <c r="G8" s="952"/>
      <c r="H8" s="952"/>
      <c r="I8" s="952"/>
      <c r="J8" s="953"/>
      <c r="K8" s="954"/>
      <c r="L8" s="955"/>
      <c r="M8" s="956"/>
      <c r="N8" s="956"/>
      <c r="O8" s="957">
        <f t="shared" si="0"/>
        <v>0</v>
      </c>
    </row>
    <row r="9" spans="1:15" ht="12.75" customHeight="1" x14ac:dyDescent="0.25">
      <c r="A9" s="777"/>
      <c r="B9" s="169"/>
      <c r="C9" s="951"/>
      <c r="D9" s="952"/>
      <c r="E9" s="952"/>
      <c r="F9" s="952"/>
      <c r="G9" s="952"/>
      <c r="H9" s="952"/>
      <c r="I9" s="952"/>
      <c r="J9" s="953"/>
      <c r="K9" s="954"/>
      <c r="L9" s="955"/>
      <c r="M9" s="956"/>
      <c r="N9" s="956"/>
      <c r="O9" s="957">
        <f t="shared" si="0"/>
        <v>0</v>
      </c>
    </row>
    <row r="10" spans="1:15" ht="12.75" customHeight="1" x14ac:dyDescent="0.25">
      <c r="A10" s="777"/>
      <c r="B10" s="169"/>
      <c r="C10" s="951"/>
      <c r="D10" s="952"/>
      <c r="E10" s="952"/>
      <c r="F10" s="952"/>
      <c r="G10" s="952"/>
      <c r="H10" s="952"/>
      <c r="I10" s="952"/>
      <c r="J10" s="953"/>
      <c r="K10" s="954"/>
      <c r="L10" s="955"/>
      <c r="M10" s="956"/>
      <c r="N10" s="956"/>
      <c r="O10" s="957">
        <f t="shared" si="0"/>
        <v>0</v>
      </c>
    </row>
    <row r="11" spans="1:15" ht="12.75" customHeight="1" x14ac:dyDescent="0.25">
      <c r="A11" s="777"/>
      <c r="B11" s="169"/>
      <c r="C11" s="951"/>
      <c r="D11" s="952"/>
      <c r="E11" s="952"/>
      <c r="F11" s="952"/>
      <c r="G11" s="952"/>
      <c r="H11" s="952"/>
      <c r="I11" s="952"/>
      <c r="J11" s="953"/>
      <c r="K11" s="954"/>
      <c r="L11" s="955"/>
      <c r="M11" s="956"/>
      <c r="N11" s="956"/>
      <c r="O11" s="957">
        <f t="shared" si="0"/>
        <v>0</v>
      </c>
    </row>
    <row r="12" spans="1:15" ht="12.75" customHeight="1" x14ac:dyDescent="0.25">
      <c r="A12" s="548" t="s">
        <v>132</v>
      </c>
      <c r="B12" s="169"/>
      <c r="C12" s="970"/>
      <c r="D12" s="958"/>
      <c r="E12" s="958"/>
      <c r="F12" s="958"/>
      <c r="G12" s="958"/>
      <c r="H12" s="958"/>
      <c r="I12" s="958"/>
      <c r="J12" s="959"/>
      <c r="K12" s="960">
        <f>SUM(K5:K11)</f>
        <v>368175090.39999998</v>
      </c>
      <c r="L12" s="961"/>
      <c r="M12" s="962">
        <f>SUM(M5:M11)</f>
        <v>-94207758.609999999</v>
      </c>
      <c r="N12" s="962">
        <f>SUM(N5:N11)</f>
        <v>154941216.06</v>
      </c>
      <c r="O12" s="963">
        <f>SUM(O5:O11)</f>
        <v>434980687.20999998</v>
      </c>
    </row>
    <row r="13" spans="1:15" ht="3.75" customHeight="1" x14ac:dyDescent="0.25">
      <c r="A13" s="549"/>
      <c r="B13" s="169"/>
      <c r="C13" s="605"/>
      <c r="D13" s="964"/>
      <c r="E13" s="964"/>
      <c r="F13" s="964"/>
      <c r="G13" s="964"/>
      <c r="H13" s="964"/>
      <c r="I13" s="964"/>
      <c r="J13" s="965"/>
      <c r="K13" s="966"/>
      <c r="L13" s="967"/>
      <c r="M13" s="968"/>
      <c r="N13" s="968"/>
      <c r="O13" s="969"/>
    </row>
    <row r="14" spans="1:15" ht="12.75" customHeight="1" x14ac:dyDescent="0.25">
      <c r="A14" s="550" t="s">
        <v>133</v>
      </c>
      <c r="B14" s="169"/>
      <c r="C14" s="605"/>
      <c r="D14" s="964"/>
      <c r="E14" s="964"/>
      <c r="F14" s="964"/>
      <c r="G14" s="964"/>
      <c r="H14" s="964"/>
      <c r="I14" s="964"/>
      <c r="J14" s="965"/>
      <c r="K14" s="966"/>
      <c r="L14" s="967"/>
      <c r="M14" s="968"/>
      <c r="N14" s="968"/>
      <c r="O14" s="969"/>
    </row>
    <row r="15" spans="1:15" ht="12.75" customHeight="1" x14ac:dyDescent="0.25">
      <c r="A15" s="778" t="s">
        <v>1460</v>
      </c>
      <c r="B15" s="169"/>
      <c r="C15" s="951"/>
      <c r="D15" s="952"/>
      <c r="E15" s="952"/>
      <c r="F15" s="952"/>
      <c r="G15" s="952"/>
      <c r="H15" s="952"/>
      <c r="I15" s="952"/>
      <c r="J15" s="953"/>
      <c r="K15" s="954">
        <v>2017847.27</v>
      </c>
      <c r="L15" s="955">
        <v>6489.45</v>
      </c>
      <c r="M15" s="956">
        <v>-793062.66999999993</v>
      </c>
      <c r="N15" s="956"/>
      <c r="O15" s="957">
        <f t="shared" ref="O15:O21" si="1">SUM(K15:N15)</f>
        <v>1231274.05</v>
      </c>
    </row>
    <row r="16" spans="1:15" ht="12.75" customHeight="1" x14ac:dyDescent="0.25">
      <c r="A16" s="778"/>
      <c r="B16" s="169"/>
      <c r="C16" s="951"/>
      <c r="D16" s="952"/>
      <c r="E16" s="952"/>
      <c r="F16" s="952"/>
      <c r="G16" s="952"/>
      <c r="H16" s="952"/>
      <c r="I16" s="952"/>
      <c r="J16" s="953"/>
      <c r="K16" s="954"/>
      <c r="L16" s="955"/>
      <c r="M16" s="956"/>
      <c r="N16" s="956"/>
      <c r="O16" s="957">
        <f t="shared" si="1"/>
        <v>0</v>
      </c>
    </row>
    <row r="17" spans="1:16" ht="12.75" customHeight="1" x14ac:dyDescent="0.25">
      <c r="A17" s="778"/>
      <c r="B17" s="169"/>
      <c r="C17" s="951"/>
      <c r="D17" s="952"/>
      <c r="E17" s="952"/>
      <c r="F17" s="952"/>
      <c r="G17" s="952"/>
      <c r="H17" s="983"/>
      <c r="I17" s="952"/>
      <c r="J17" s="953"/>
      <c r="K17" s="954"/>
      <c r="L17" s="955"/>
      <c r="M17" s="956"/>
      <c r="N17" s="956"/>
      <c r="O17" s="957">
        <f t="shared" si="1"/>
        <v>0</v>
      </c>
    </row>
    <row r="18" spans="1:16" ht="12.75" customHeight="1" x14ac:dyDescent="0.25">
      <c r="A18" s="778"/>
      <c r="B18" s="169"/>
      <c r="C18" s="951"/>
      <c r="D18" s="952"/>
      <c r="E18" s="952"/>
      <c r="F18" s="952"/>
      <c r="G18" s="952"/>
      <c r="H18" s="952"/>
      <c r="I18" s="952"/>
      <c r="J18" s="953"/>
      <c r="K18" s="954"/>
      <c r="L18" s="955"/>
      <c r="M18" s="956"/>
      <c r="N18" s="956"/>
      <c r="O18" s="957">
        <f t="shared" si="1"/>
        <v>0</v>
      </c>
    </row>
    <row r="19" spans="1:16" ht="12.75" customHeight="1" x14ac:dyDescent="0.25">
      <c r="A19" s="778"/>
      <c r="B19" s="169"/>
      <c r="C19" s="951"/>
      <c r="D19" s="952"/>
      <c r="E19" s="952"/>
      <c r="F19" s="983"/>
      <c r="G19" s="952"/>
      <c r="H19" s="952"/>
      <c r="I19" s="983"/>
      <c r="J19" s="953"/>
      <c r="K19" s="954"/>
      <c r="L19" s="955"/>
      <c r="M19" s="956"/>
      <c r="N19" s="956"/>
      <c r="O19" s="957">
        <f t="shared" si="1"/>
        <v>0</v>
      </c>
    </row>
    <row r="20" spans="1:16" ht="12.75" customHeight="1" x14ac:dyDescent="0.25">
      <c r="A20" s="778"/>
      <c r="B20" s="169"/>
      <c r="C20" s="951"/>
      <c r="D20" s="952"/>
      <c r="E20" s="952"/>
      <c r="F20" s="952"/>
      <c r="G20" s="952"/>
      <c r="H20" s="952"/>
      <c r="I20" s="952"/>
      <c r="J20" s="953"/>
      <c r="K20" s="954"/>
      <c r="L20" s="955"/>
      <c r="M20" s="956"/>
      <c r="N20" s="956"/>
      <c r="O20" s="957">
        <f t="shared" si="1"/>
        <v>0</v>
      </c>
    </row>
    <row r="21" spans="1:16" ht="12.75" customHeight="1" x14ac:dyDescent="0.25">
      <c r="A21" s="778"/>
      <c r="B21" s="169"/>
      <c r="C21" s="951"/>
      <c r="D21" s="952"/>
      <c r="E21" s="952"/>
      <c r="F21" s="952"/>
      <c r="G21" s="952"/>
      <c r="H21" s="952"/>
      <c r="I21" s="952"/>
      <c r="J21" s="953"/>
      <c r="K21" s="954"/>
      <c r="L21" s="955"/>
      <c r="M21" s="956"/>
      <c r="N21" s="956"/>
      <c r="O21" s="957">
        <f t="shared" si="1"/>
        <v>0</v>
      </c>
    </row>
    <row r="22" spans="1:16" ht="12.75" customHeight="1" x14ac:dyDescent="0.25">
      <c r="A22" s="548" t="s">
        <v>134</v>
      </c>
      <c r="B22" s="169"/>
      <c r="C22" s="970"/>
      <c r="D22" s="958"/>
      <c r="E22" s="958"/>
      <c r="F22" s="958"/>
      <c r="G22" s="958"/>
      <c r="H22" s="958"/>
      <c r="I22" s="958"/>
      <c r="J22" s="959"/>
      <c r="K22" s="960">
        <f>SUM(K15:K21)</f>
        <v>2017847.27</v>
      </c>
      <c r="L22" s="961"/>
      <c r="M22" s="962">
        <f>SUM(M15:M21)</f>
        <v>-793062.66999999993</v>
      </c>
      <c r="N22" s="962">
        <f>SUM(N15:N21)</f>
        <v>0</v>
      </c>
      <c r="O22" s="963">
        <f>SUM(O15:O21)</f>
        <v>1231274.05</v>
      </c>
    </row>
    <row r="23" spans="1:16" ht="3.75" customHeight="1" x14ac:dyDescent="0.25">
      <c r="A23" s="549"/>
      <c r="B23" s="169"/>
      <c r="C23" s="605"/>
      <c r="D23" s="964"/>
      <c r="E23" s="964"/>
      <c r="F23" s="964"/>
      <c r="G23" s="964"/>
      <c r="H23" s="964"/>
      <c r="I23" s="964"/>
      <c r="J23" s="965"/>
      <c r="K23" s="971"/>
      <c r="L23" s="972"/>
      <c r="M23" s="973"/>
      <c r="N23" s="973"/>
      <c r="O23" s="974"/>
    </row>
    <row r="24" spans="1:16" ht="12.75" customHeight="1" x14ac:dyDescent="0.25">
      <c r="A24" s="551" t="s">
        <v>135</v>
      </c>
      <c r="B24" s="236">
        <v>2</v>
      </c>
      <c r="C24" s="975"/>
      <c r="D24" s="976"/>
      <c r="E24" s="976"/>
      <c r="F24" s="976"/>
      <c r="G24" s="976"/>
      <c r="H24" s="976"/>
      <c r="I24" s="976"/>
      <c r="J24" s="977"/>
      <c r="K24" s="978">
        <f>K12+K22</f>
        <v>370192937.66999996</v>
      </c>
      <c r="L24" s="979"/>
      <c r="M24" s="980">
        <f>M12+M22</f>
        <v>-95000821.280000001</v>
      </c>
      <c r="N24" s="980">
        <f>N12+N22</f>
        <v>154941216.06</v>
      </c>
      <c r="O24" s="981">
        <f>O12+O22</f>
        <v>436211961.25999999</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5"/>
  <sheetViews>
    <sheetView showGridLines="0" zoomScaleNormal="100" workbookViewId="0">
      <pane xSplit="2" ySplit="4" topLeftCell="C44" activePane="bottomRight" state="frozen"/>
      <selection pane="topRight"/>
      <selection pane="bottomLeft"/>
      <selection pane="bottomRight" activeCell="F50" sqref="F50:G50"/>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"&amp;S71L&amp; " - "&amp;Head57</f>
        <v>KZN225 Msunduzi - Supporting Table SC6 Monthly Budget Statement - transfers and grant receipts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0</v>
      </c>
      <c r="G8" s="50">
        <f t="shared" si="0"/>
        <v>685547600</v>
      </c>
      <c r="H8" s="50">
        <f t="shared" si="0"/>
        <v>609689522</v>
      </c>
      <c r="I8" s="50">
        <f t="shared" si="0"/>
        <v>75858078</v>
      </c>
      <c r="J8" s="343">
        <f t="shared" ref="J8:J32" si="1">IF(I8=0,"",I8/H8)</f>
        <v>0.12442083267424103</v>
      </c>
      <c r="K8" s="194">
        <f>SUM(K9:K17)</f>
        <v>609689522</v>
      </c>
    </row>
    <row r="9" spans="1:11" ht="12.75" customHeight="1" x14ac:dyDescent="0.25">
      <c r="A9" s="779" t="s">
        <v>999</v>
      </c>
      <c r="B9" s="169"/>
      <c r="C9" s="780"/>
      <c r="D9" s="781">
        <v>546052000</v>
      </c>
      <c r="E9" s="735">
        <v>546052000</v>
      </c>
      <c r="F9" s="735"/>
      <c r="G9" s="735">
        <v>380231000</v>
      </c>
      <c r="H9" s="734">
        <f>E9/12*12</f>
        <v>546052000</v>
      </c>
      <c r="I9" s="44">
        <f t="shared" ref="I9:I17" si="2">G9-H9</f>
        <v>-165821000</v>
      </c>
      <c r="J9" s="124">
        <f t="shared" si="1"/>
        <v>-0.30367254400679788</v>
      </c>
      <c r="K9" s="737">
        <f>E9</f>
        <v>546052000</v>
      </c>
    </row>
    <row r="10" spans="1:11" ht="12.75" customHeight="1" x14ac:dyDescent="0.25">
      <c r="A10" s="779" t="s">
        <v>1001</v>
      </c>
      <c r="B10" s="169"/>
      <c r="C10" s="749"/>
      <c r="D10" s="746">
        <v>1700000</v>
      </c>
      <c r="E10" s="734">
        <v>1700000</v>
      </c>
      <c r="F10" s="734"/>
      <c r="G10" s="734">
        <v>1700000</v>
      </c>
      <c r="H10" s="734">
        <f>E10/12*12</f>
        <v>1700000</v>
      </c>
      <c r="I10" s="44">
        <f>G10-H10</f>
        <v>0</v>
      </c>
      <c r="J10" s="124" t="str">
        <f>IF(I10=0,"",I10/H10)</f>
        <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c r="G12" s="734">
        <v>4200000</v>
      </c>
      <c r="H12" s="734">
        <f>E12/12*12</f>
        <v>4200000</v>
      </c>
      <c r="I12" s="44">
        <f>G12-H12</f>
        <v>0</v>
      </c>
      <c r="J12" s="124" t="str">
        <f>IF(I12=0,"",I12/H12)</f>
        <v/>
      </c>
      <c r="K12" s="736">
        <f>E12</f>
        <v>4200000</v>
      </c>
    </row>
    <row r="13" spans="1:11" ht="12.75" customHeight="1" x14ac:dyDescent="0.25">
      <c r="A13" s="779" t="s">
        <v>1002</v>
      </c>
      <c r="B13" s="169"/>
      <c r="C13" s="749"/>
      <c r="D13" s="746"/>
      <c r="E13" s="734"/>
      <c r="F13" s="734"/>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c r="G14" s="734">
        <v>226665000</v>
      </c>
      <c r="H14" s="734">
        <f>E14/12*12</f>
        <v>43829600</v>
      </c>
      <c r="I14" s="44">
        <f t="shared" si="2"/>
        <v>182835400</v>
      </c>
      <c r="J14" s="124">
        <f t="shared" si="1"/>
        <v>4.1715051015751916</v>
      </c>
      <c r="K14" s="736">
        <f>E14</f>
        <v>43829600</v>
      </c>
    </row>
    <row r="15" spans="1:11" ht="12.75" customHeight="1" x14ac:dyDescent="0.25">
      <c r="A15" s="779" t="s">
        <v>1003</v>
      </c>
      <c r="B15" s="169"/>
      <c r="C15" s="749"/>
      <c r="D15" s="746"/>
      <c r="E15" s="734"/>
      <c r="F15" s="734"/>
      <c r="G15" s="734"/>
      <c r="H15" s="734"/>
      <c r="I15" s="44">
        <f t="shared" si="2"/>
        <v>0</v>
      </c>
      <c r="J15" s="124" t="str">
        <f t="shared" si="1"/>
        <v/>
      </c>
      <c r="K15" s="736"/>
    </row>
    <row r="16" spans="1:11" ht="12.75" customHeight="1" x14ac:dyDescent="0.25">
      <c r="A16" s="779" t="s">
        <v>1442</v>
      </c>
      <c r="B16" s="169"/>
      <c r="C16" s="749"/>
      <c r="D16" s="746">
        <v>18000000</v>
      </c>
      <c r="E16" s="734">
        <v>13907922</v>
      </c>
      <c r="F16" s="734"/>
      <c r="G16" s="734">
        <v>19751600</v>
      </c>
      <c r="H16" s="734">
        <f>E16/12*12</f>
        <v>13907922</v>
      </c>
      <c r="I16" s="44">
        <f t="shared" si="2"/>
        <v>5843678</v>
      </c>
      <c r="J16" s="124">
        <f t="shared" si="1"/>
        <v>0.42016902309345711</v>
      </c>
      <c r="K16" s="736">
        <f>E16</f>
        <v>13907922</v>
      </c>
    </row>
    <row r="17" spans="1:11" ht="12.75" customHeight="1" x14ac:dyDescent="0.25">
      <c r="A17" s="779" t="s">
        <v>1443</v>
      </c>
      <c r="B17" s="169"/>
      <c r="C17" s="749"/>
      <c r="D17" s="746"/>
      <c r="E17" s="734"/>
      <c r="F17" s="734"/>
      <c r="G17" s="734"/>
      <c r="H17" s="734"/>
      <c r="I17" s="44">
        <f t="shared" si="2"/>
        <v>0</v>
      </c>
      <c r="J17" s="124" t="str">
        <f t="shared" si="1"/>
        <v/>
      </c>
      <c r="K17" s="736"/>
    </row>
    <row r="18" spans="1:11" ht="12.75" customHeight="1" x14ac:dyDescent="0.25">
      <c r="A18" s="106" t="s">
        <v>630</v>
      </c>
      <c r="B18" s="169"/>
      <c r="C18" s="516">
        <f t="shared" ref="C18" si="3">SUM(C20:C27)</f>
        <v>0</v>
      </c>
      <c r="D18" s="475">
        <f>SUM(D19:D27)</f>
        <v>58345846.450000115</v>
      </c>
      <c r="E18" s="430">
        <f>SUM(E19:E27)</f>
        <v>84284884</v>
      </c>
      <c r="F18" s="430">
        <f t="shared" ref="F18:K18" si="4">SUM(F19:F27)</f>
        <v>-545710.25999999046</v>
      </c>
      <c r="G18" s="430">
        <f t="shared" si="4"/>
        <v>96875101.189999998</v>
      </c>
      <c r="H18" s="430">
        <f t="shared" si="4"/>
        <v>84284884</v>
      </c>
      <c r="I18" s="430">
        <f t="shared" si="4"/>
        <v>20247294.189999998</v>
      </c>
      <c r="J18" s="554" t="e">
        <f t="shared" si="4"/>
        <v>#DIV/0!</v>
      </c>
      <c r="K18" s="513">
        <f t="shared" si="4"/>
        <v>84284884</v>
      </c>
    </row>
    <row r="19" spans="1:11" ht="12.75" customHeight="1" x14ac:dyDescent="0.25">
      <c r="A19" s="779" t="s">
        <v>630</v>
      </c>
      <c r="B19" s="169"/>
      <c r="C19" s="780"/>
      <c r="D19" s="781"/>
      <c r="E19" s="735">
        <v>6760234</v>
      </c>
      <c r="F19" s="735"/>
      <c r="G19" s="735"/>
      <c r="H19" s="735">
        <f>E19/12*12</f>
        <v>6760234</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v>-545710.25999999046</v>
      </c>
      <c r="G22" s="734">
        <v>75168101.189999998</v>
      </c>
      <c r="H22" s="734">
        <f>E22/12*12</f>
        <v>66041849</v>
      </c>
      <c r="I22" s="44">
        <f t="shared" ref="I22:I31" si="5">G22-H22</f>
        <v>9126252.1899999976</v>
      </c>
      <c r="J22" s="124">
        <f t="shared" si="1"/>
        <v>0.13818892608533714</v>
      </c>
      <c r="K22" s="736">
        <f>E22</f>
        <v>66041849</v>
      </c>
    </row>
    <row r="23" spans="1:11" ht="12.75" customHeight="1" x14ac:dyDescent="0.25">
      <c r="A23" s="779" t="s">
        <v>1446</v>
      </c>
      <c r="B23" s="169">
        <v>4</v>
      </c>
      <c r="C23" s="749"/>
      <c r="D23" s="746">
        <v>10061000</v>
      </c>
      <c r="E23" s="734">
        <v>10061000</v>
      </c>
      <c r="F23" s="734"/>
      <c r="G23" s="734">
        <v>20052000</v>
      </c>
      <c r="H23" s="734">
        <f>E23/12*12</f>
        <v>10061000</v>
      </c>
      <c r="I23" s="44">
        <f t="shared" si="5"/>
        <v>9991000</v>
      </c>
      <c r="J23" s="124">
        <f t="shared" si="1"/>
        <v>0.99304244110923368</v>
      </c>
      <c r="K23" s="736">
        <f>E23</f>
        <v>10061000</v>
      </c>
    </row>
    <row r="24" spans="1:11" ht="12.75" customHeight="1" x14ac:dyDescent="0.25">
      <c r="A24" s="779" t="s">
        <v>1447</v>
      </c>
      <c r="B24" s="169"/>
      <c r="C24" s="749"/>
      <c r="D24" s="746"/>
      <c r="E24" s="734"/>
      <c r="F24" s="734"/>
      <c r="G24" s="734"/>
      <c r="H24" s="734"/>
      <c r="I24" s="44">
        <f t="shared" si="5"/>
        <v>0</v>
      </c>
      <c r="J24" s="124" t="str">
        <f>IF(I24=0,"",I24/H24)</f>
        <v/>
      </c>
      <c r="K24" s="736"/>
    </row>
    <row r="25" spans="1:11" ht="12.75" customHeight="1" x14ac:dyDescent="0.25">
      <c r="A25" s="779" t="s">
        <v>1448</v>
      </c>
      <c r="B25" s="169"/>
      <c r="C25" s="749"/>
      <c r="D25" s="746">
        <v>463000</v>
      </c>
      <c r="E25" s="734">
        <v>524958</v>
      </c>
      <c r="F25" s="734"/>
      <c r="G25" s="734">
        <v>463000</v>
      </c>
      <c r="H25" s="734">
        <f>E25/12*12</f>
        <v>524958</v>
      </c>
      <c r="I25" s="44">
        <f t="shared" si="5"/>
        <v>-61958</v>
      </c>
      <c r="J25" s="124">
        <f>IF(I25=0,"",I25/H25)</f>
        <v>-0.11802468006964367</v>
      </c>
      <c r="K25" s="736">
        <f>E25</f>
        <v>524958</v>
      </c>
    </row>
    <row r="26" spans="1:11" ht="12.75" customHeight="1" x14ac:dyDescent="0.25">
      <c r="A26" s="779" t="s">
        <v>1449</v>
      </c>
      <c r="B26" s="169"/>
      <c r="C26" s="749"/>
      <c r="D26" s="746">
        <v>21453229</v>
      </c>
      <c r="E26" s="734">
        <v>896843</v>
      </c>
      <c r="F26" s="734"/>
      <c r="G26" s="734"/>
      <c r="H26" s="734">
        <f>E26/12*12</f>
        <v>896843</v>
      </c>
      <c r="I26" s="44"/>
      <c r="J26" s="124"/>
      <c r="K26" s="736">
        <f>E26</f>
        <v>896843</v>
      </c>
    </row>
    <row r="27" spans="1:11" ht="12.75" customHeight="1" x14ac:dyDescent="0.25">
      <c r="A27" s="779" t="s">
        <v>1476</v>
      </c>
      <c r="B27" s="169"/>
      <c r="C27" s="749"/>
      <c r="D27" s="746"/>
      <c r="E27" s="734"/>
      <c r="F27" s="734"/>
      <c r="G27" s="734">
        <v>1192000</v>
      </c>
      <c r="H27" s="734">
        <f t="shared" ref="H27" si="6">E27/12*11</f>
        <v>0</v>
      </c>
      <c r="I27" s="44">
        <f t="shared" si="5"/>
        <v>1192000</v>
      </c>
      <c r="J27" s="124" t="e">
        <f t="shared" si="1"/>
        <v>#DIV/0!</v>
      </c>
      <c r="K27" s="736"/>
    </row>
    <row r="28" spans="1:11" ht="12.75" customHeight="1" x14ac:dyDescent="0.25">
      <c r="A28" s="106" t="s">
        <v>526</v>
      </c>
      <c r="B28" s="169"/>
      <c r="C28" s="516">
        <f t="shared" ref="C28:H28" si="7">SUM(C29:C29)</f>
        <v>0</v>
      </c>
      <c r="D28" s="475">
        <f t="shared" si="7"/>
        <v>0</v>
      </c>
      <c r="E28" s="430">
        <f t="shared" si="7"/>
        <v>0</v>
      </c>
      <c r="F28" s="430">
        <f t="shared" si="7"/>
        <v>0</v>
      </c>
      <c r="G28" s="430">
        <f t="shared" si="7"/>
        <v>0</v>
      </c>
      <c r="H28" s="430">
        <f t="shared" si="7"/>
        <v>0</v>
      </c>
      <c r="I28" s="514">
        <f t="shared" si="5"/>
        <v>0</v>
      </c>
      <c r="J28" s="553" t="str">
        <f t="shared" si="1"/>
        <v/>
      </c>
      <c r="K28" s="513">
        <f>SUM(K29:K29)</f>
        <v>0</v>
      </c>
    </row>
    <row r="29" spans="1:11" ht="12.75" customHeight="1" x14ac:dyDescent="0.25">
      <c r="A29" s="782"/>
      <c r="B29" s="169"/>
      <c r="C29" s="784"/>
      <c r="D29" s="785"/>
      <c r="E29" s="738"/>
      <c r="F29" s="738"/>
      <c r="G29" s="738"/>
      <c r="H29" s="738"/>
      <c r="I29" s="514">
        <f t="shared" si="5"/>
        <v>0</v>
      </c>
      <c r="J29" s="553" t="str">
        <f t="shared" si="1"/>
        <v/>
      </c>
      <c r="K29" s="739"/>
    </row>
    <row r="30" spans="1:11" ht="12.75" customHeight="1" x14ac:dyDescent="0.25">
      <c r="A30" s="106" t="s">
        <v>827</v>
      </c>
      <c r="B30" s="169"/>
      <c r="C30" s="516">
        <f t="shared" ref="C30:H30" si="8">SUM(C31:C31)</f>
        <v>0</v>
      </c>
      <c r="D30" s="475">
        <f t="shared" si="8"/>
        <v>0</v>
      </c>
      <c r="E30" s="430">
        <f t="shared" si="8"/>
        <v>0</v>
      </c>
      <c r="F30" s="430">
        <f t="shared" si="8"/>
        <v>0</v>
      </c>
      <c r="G30" s="430">
        <f t="shared" si="8"/>
        <v>0</v>
      </c>
      <c r="H30" s="430">
        <f t="shared" si="8"/>
        <v>0</v>
      </c>
      <c r="I30" s="514">
        <f t="shared" si="5"/>
        <v>0</v>
      </c>
      <c r="J30" s="553" t="str">
        <f t="shared" si="1"/>
        <v/>
      </c>
      <c r="K30" s="513">
        <f>SUM(K31:K31)</f>
        <v>0</v>
      </c>
    </row>
    <row r="31" spans="1:11" ht="12.75" customHeight="1" x14ac:dyDescent="0.25">
      <c r="A31" s="782"/>
      <c r="B31" s="169"/>
      <c r="C31" s="784"/>
      <c r="D31" s="785"/>
      <c r="E31" s="738"/>
      <c r="F31" s="738"/>
      <c r="G31" s="738"/>
      <c r="H31" s="738"/>
      <c r="I31" s="514">
        <f t="shared" si="5"/>
        <v>0</v>
      </c>
      <c r="J31" s="553" t="str">
        <f t="shared" si="1"/>
        <v/>
      </c>
      <c r="K31" s="739"/>
    </row>
    <row r="32" spans="1:11" ht="12.75" customHeight="1" x14ac:dyDescent="0.25">
      <c r="A32" s="559" t="s">
        <v>62</v>
      </c>
      <c r="B32" s="233">
        <v>5</v>
      </c>
      <c r="C32" s="243">
        <f t="shared" ref="C32:I32" si="9">C8+C18+C28+C30</f>
        <v>0</v>
      </c>
      <c r="D32" s="74">
        <f t="shared" si="9"/>
        <v>672127446.45000017</v>
      </c>
      <c r="E32" s="73">
        <f t="shared" si="9"/>
        <v>693974406</v>
      </c>
      <c r="F32" s="73">
        <f t="shared" si="9"/>
        <v>-545710.25999999046</v>
      </c>
      <c r="G32" s="73">
        <f t="shared" si="9"/>
        <v>782422701.19000006</v>
      </c>
      <c r="H32" s="73">
        <f t="shared" si="9"/>
        <v>693974406</v>
      </c>
      <c r="I32" s="73">
        <f t="shared" si="9"/>
        <v>96105372.189999998</v>
      </c>
      <c r="J32" s="304">
        <f t="shared" si="1"/>
        <v>0.1384854705866487</v>
      </c>
      <c r="K32" s="145">
        <f>K8+K18+K28+K30</f>
        <v>693974406</v>
      </c>
    </row>
    <row r="33" spans="1:11" ht="5.0999999999999996" customHeight="1" x14ac:dyDescent="0.25">
      <c r="A33" s="42"/>
      <c r="B33" s="169"/>
      <c r="C33" s="134"/>
      <c r="D33" s="46"/>
      <c r="E33" s="44"/>
      <c r="F33" s="44"/>
      <c r="G33" s="44"/>
      <c r="H33" s="44"/>
      <c r="I33" s="44"/>
      <c r="J33" s="124"/>
      <c r="K33" s="144"/>
    </row>
    <row r="34" spans="1:11" ht="12.75" customHeight="1" x14ac:dyDescent="0.25">
      <c r="A34" s="550" t="s">
        <v>63</v>
      </c>
      <c r="B34" s="169"/>
      <c r="C34" s="134"/>
      <c r="D34" s="46"/>
      <c r="E34" s="44"/>
      <c r="F34" s="44"/>
      <c r="G34" s="44"/>
      <c r="H34" s="44"/>
      <c r="I34" s="44"/>
      <c r="J34" s="124"/>
      <c r="K34" s="144"/>
    </row>
    <row r="35" spans="1:11" ht="18" customHeight="1" x14ac:dyDescent="0.25">
      <c r="A35" s="106" t="str">
        <f>A8</f>
        <v>National Government:</v>
      </c>
      <c r="B35" s="169"/>
      <c r="C35" s="134">
        <f t="shared" ref="C35:I35" si="10">SUM(C36:C43)</f>
        <v>0</v>
      </c>
      <c r="D35" s="46">
        <f t="shared" si="10"/>
        <v>429351400</v>
      </c>
      <c r="E35" s="44">
        <f t="shared" si="10"/>
        <v>393443478</v>
      </c>
      <c r="F35" s="44">
        <f t="shared" si="10"/>
        <v>0</v>
      </c>
      <c r="G35" s="44">
        <f t="shared" si="10"/>
        <v>195764400</v>
      </c>
      <c r="H35" s="44">
        <f t="shared" si="10"/>
        <v>393443478</v>
      </c>
      <c r="I35" s="44">
        <f t="shared" si="10"/>
        <v>-197679078</v>
      </c>
      <c r="J35" s="343">
        <f t="shared" ref="J35:J58" si="11">IF(I35=0,"",I35/H35)</f>
        <v>-0.50243323133698004</v>
      </c>
      <c r="K35" s="144">
        <f>SUM(K36:K43)</f>
        <v>393443478</v>
      </c>
    </row>
    <row r="36" spans="1:11" ht="12.75" customHeight="1" x14ac:dyDescent="0.25">
      <c r="A36" s="779" t="s">
        <v>1450</v>
      </c>
      <c r="B36" s="169"/>
      <c r="C36" s="780"/>
      <c r="D36" s="781">
        <v>179516000</v>
      </c>
      <c r="E36" s="735">
        <v>183608078</v>
      </c>
      <c r="F36" s="735"/>
      <c r="G36" s="735">
        <v>177764400</v>
      </c>
      <c r="H36" s="735">
        <f>E36/12*12</f>
        <v>183608078</v>
      </c>
      <c r="I36" s="514">
        <f t="shared" ref="I36:I43" si="12">G36-H36</f>
        <v>-5843678</v>
      </c>
      <c r="J36" s="553">
        <f t="shared" si="11"/>
        <v>-3.1826911232086426E-2</v>
      </c>
      <c r="K36" s="737">
        <f>E36</f>
        <v>183608078</v>
      </c>
    </row>
    <row r="37" spans="1:11" ht="12.75" customHeight="1" x14ac:dyDescent="0.25">
      <c r="A37" s="779" t="s">
        <v>1451</v>
      </c>
      <c r="B37" s="169"/>
      <c r="C37" s="749"/>
      <c r="D37" s="746">
        <v>150835400</v>
      </c>
      <c r="E37" s="734">
        <v>150835400</v>
      </c>
      <c r="F37" s="734"/>
      <c r="G37" s="734"/>
      <c r="H37" s="734">
        <f>E37/12*12</f>
        <v>150835400</v>
      </c>
      <c r="I37" s="44">
        <f t="shared" si="12"/>
        <v>-150835400</v>
      </c>
      <c r="J37" s="124">
        <f t="shared" si="11"/>
        <v>-1</v>
      </c>
      <c r="K37" s="736">
        <f>E37</f>
        <v>150835400</v>
      </c>
    </row>
    <row r="38" spans="1:11" ht="12.75" customHeight="1" x14ac:dyDescent="0.25">
      <c r="A38" s="779" t="s">
        <v>1014</v>
      </c>
      <c r="B38" s="169"/>
      <c r="C38" s="749"/>
      <c r="D38" s="746">
        <v>50000000</v>
      </c>
      <c r="E38" s="734">
        <v>10000000</v>
      </c>
      <c r="F38" s="734"/>
      <c r="G38" s="734">
        <v>10000000</v>
      </c>
      <c r="H38" s="734">
        <f>E38/12*12</f>
        <v>10000000</v>
      </c>
      <c r="I38" s="44">
        <f t="shared" si="12"/>
        <v>0</v>
      </c>
      <c r="J38" s="124" t="str">
        <f t="shared" si="11"/>
        <v/>
      </c>
      <c r="K38" s="736">
        <f>E38</f>
        <v>10000000</v>
      </c>
    </row>
    <row r="39" spans="1:11" ht="12.75" customHeight="1" x14ac:dyDescent="0.25">
      <c r="A39" s="779" t="s">
        <v>1452</v>
      </c>
      <c r="B39" s="169"/>
      <c r="C39" s="749"/>
      <c r="D39" s="746"/>
      <c r="E39" s="734"/>
      <c r="F39" s="734"/>
      <c r="G39" s="734"/>
      <c r="H39" s="734"/>
      <c r="I39" s="44">
        <f t="shared" si="12"/>
        <v>0</v>
      </c>
      <c r="J39" s="124" t="str">
        <f t="shared" si="11"/>
        <v/>
      </c>
      <c r="K39" s="736"/>
    </row>
    <row r="40" spans="1:11" ht="12.75" customHeight="1" x14ac:dyDescent="0.25">
      <c r="A40" s="779" t="s">
        <v>1453</v>
      </c>
      <c r="B40" s="169"/>
      <c r="C40" s="749"/>
      <c r="D40" s="746"/>
      <c r="E40" s="734"/>
      <c r="F40" s="734"/>
      <c r="G40" s="734"/>
      <c r="H40" s="734"/>
      <c r="I40" s="44">
        <f t="shared" si="12"/>
        <v>0</v>
      </c>
      <c r="J40" s="124" t="str">
        <f t="shared" si="11"/>
        <v/>
      </c>
      <c r="K40" s="736"/>
    </row>
    <row r="41" spans="1:11" ht="12.75" customHeight="1" x14ac:dyDescent="0.25">
      <c r="A41" s="779" t="s">
        <v>573</v>
      </c>
      <c r="B41" s="169"/>
      <c r="C41" s="749"/>
      <c r="D41" s="746"/>
      <c r="E41" s="734"/>
      <c r="F41" s="734"/>
      <c r="G41" s="734"/>
      <c r="H41" s="734"/>
      <c r="I41" s="44">
        <f t="shared" si="12"/>
        <v>0</v>
      </c>
      <c r="J41" s="124" t="str">
        <f t="shared" si="11"/>
        <v/>
      </c>
      <c r="K41" s="736"/>
    </row>
    <row r="42" spans="1:11" ht="12.75" customHeight="1" x14ac:dyDescent="0.25">
      <c r="A42" s="779" t="s">
        <v>1454</v>
      </c>
      <c r="B42" s="169"/>
      <c r="C42" s="749"/>
      <c r="D42" s="746">
        <v>41000000</v>
      </c>
      <c r="E42" s="734">
        <v>41000000</v>
      </c>
      <c r="F42" s="734"/>
      <c r="G42" s="734"/>
      <c r="H42" s="734">
        <f>E42/12*12</f>
        <v>41000000</v>
      </c>
      <c r="I42" s="44">
        <f t="shared" si="12"/>
        <v>-41000000</v>
      </c>
      <c r="J42" s="124">
        <f t="shared" si="11"/>
        <v>-1</v>
      </c>
      <c r="K42" s="736">
        <f>E42</f>
        <v>41000000</v>
      </c>
    </row>
    <row r="43" spans="1:11" ht="12.75" customHeight="1" x14ac:dyDescent="0.25">
      <c r="A43" s="779" t="s">
        <v>1455</v>
      </c>
      <c r="B43" s="169"/>
      <c r="C43" s="749"/>
      <c r="D43" s="746">
        <v>8000000</v>
      </c>
      <c r="E43" s="734">
        <v>8000000</v>
      </c>
      <c r="F43" s="734"/>
      <c r="G43" s="734">
        <v>8000000</v>
      </c>
      <c r="H43" s="734">
        <f>E43/12*12</f>
        <v>8000000</v>
      </c>
      <c r="I43" s="44">
        <f t="shared" si="12"/>
        <v>0</v>
      </c>
      <c r="J43" s="124" t="str">
        <f t="shared" si="11"/>
        <v/>
      </c>
      <c r="K43" s="736">
        <f>E43</f>
        <v>8000000</v>
      </c>
    </row>
    <row r="44" spans="1:11" ht="12.75" customHeight="1" x14ac:dyDescent="0.25">
      <c r="A44" s="342" t="str">
        <f>A18</f>
        <v>Provincial Government:</v>
      </c>
      <c r="B44" s="169"/>
      <c r="C44" s="516">
        <f t="shared" ref="C44:H44" si="13">SUM(C45:C51)</f>
        <v>0</v>
      </c>
      <c r="D44" s="475">
        <f t="shared" si="13"/>
        <v>9991000</v>
      </c>
      <c r="E44" s="430">
        <f t="shared" si="13"/>
        <v>273968716</v>
      </c>
      <c r="F44" s="430">
        <f t="shared" si="13"/>
        <v>0</v>
      </c>
      <c r="G44" s="430">
        <f t="shared" si="13"/>
        <v>25500000</v>
      </c>
      <c r="H44" s="430">
        <f t="shared" si="13"/>
        <v>273968716</v>
      </c>
      <c r="I44" s="514">
        <f t="shared" ref="I44:I55" si="14">G44-H44</f>
        <v>-248468716</v>
      </c>
      <c r="J44" s="553">
        <f>IF(I44=0,"",I44/H44)</f>
        <v>-0.90692367956347253</v>
      </c>
      <c r="K44" s="513">
        <f>SUM(K45:K51)</f>
        <v>273968716</v>
      </c>
    </row>
    <row r="45" spans="1:11" ht="12.75" customHeight="1" x14ac:dyDescent="0.25">
      <c r="A45" s="782" t="s">
        <v>1456</v>
      </c>
      <c r="B45" s="169"/>
      <c r="C45" s="784"/>
      <c r="D45" s="785"/>
      <c r="E45" s="738"/>
      <c r="F45" s="738"/>
      <c r="G45" s="738"/>
      <c r="H45" s="738"/>
      <c r="I45" s="514">
        <f t="shared" si="14"/>
        <v>0</v>
      </c>
      <c r="J45" s="553" t="str">
        <f t="shared" ref="J45:J51" si="15">IF(I45=0,"",I45/H45)</f>
        <v/>
      </c>
      <c r="K45" s="739"/>
    </row>
    <row r="46" spans="1:11" ht="12.75" customHeight="1" x14ac:dyDescent="0.25">
      <c r="A46" s="786" t="s">
        <v>780</v>
      </c>
      <c r="B46" s="169"/>
      <c r="C46" s="787"/>
      <c r="D46" s="788"/>
      <c r="E46" s="789"/>
      <c r="F46" s="789"/>
      <c r="G46" s="789"/>
      <c r="H46" s="789"/>
      <c r="I46" s="44">
        <f t="shared" si="14"/>
        <v>0</v>
      </c>
      <c r="J46" s="124" t="str">
        <f t="shared" si="15"/>
        <v/>
      </c>
      <c r="K46" s="790"/>
    </row>
    <row r="47" spans="1:11" ht="12.75" customHeight="1" x14ac:dyDescent="0.25">
      <c r="A47" s="786" t="s">
        <v>1457</v>
      </c>
      <c r="B47" s="169"/>
      <c r="C47" s="787"/>
      <c r="D47" s="788"/>
      <c r="E47" s="789"/>
      <c r="F47" s="789"/>
      <c r="G47" s="789"/>
      <c r="H47" s="789"/>
      <c r="I47" s="44">
        <f t="shared" si="14"/>
        <v>0</v>
      </c>
      <c r="J47" s="124" t="str">
        <f t="shared" si="15"/>
        <v/>
      </c>
      <c r="K47" s="790"/>
    </row>
    <row r="48" spans="1:11" ht="12.75" customHeight="1" x14ac:dyDescent="0.25">
      <c r="A48" s="786" t="s">
        <v>1448</v>
      </c>
      <c r="B48" s="169"/>
      <c r="C48" s="787"/>
      <c r="D48" s="788">
        <v>9991000</v>
      </c>
      <c r="E48" s="789">
        <v>16302519</v>
      </c>
      <c r="F48" s="789"/>
      <c r="G48" s="789"/>
      <c r="H48" s="789">
        <f>E48/12*12</f>
        <v>16302519</v>
      </c>
      <c r="I48" s="44">
        <f t="shared" si="14"/>
        <v>-16302519</v>
      </c>
      <c r="J48" s="124">
        <f t="shared" si="15"/>
        <v>-1</v>
      </c>
      <c r="K48" s="790">
        <f>E48</f>
        <v>16302519</v>
      </c>
    </row>
    <row r="49" spans="1:11" ht="12.75" customHeight="1" x14ac:dyDescent="0.25">
      <c r="A49" s="786" t="s">
        <v>1449</v>
      </c>
      <c r="B49" s="169"/>
      <c r="C49" s="787"/>
      <c r="D49" s="788"/>
      <c r="E49" s="789">
        <v>10428861</v>
      </c>
      <c r="F49" s="789"/>
      <c r="G49" s="789"/>
      <c r="H49" s="789">
        <f>E49/12*12</f>
        <v>10428861</v>
      </c>
      <c r="I49" s="44">
        <f t="shared" si="14"/>
        <v>-10428861</v>
      </c>
      <c r="J49" s="124">
        <f t="shared" si="15"/>
        <v>-1</v>
      </c>
      <c r="K49" s="790">
        <f t="shared" ref="K49:K51" si="16">E49</f>
        <v>10428861</v>
      </c>
    </row>
    <row r="50" spans="1:11" ht="12.75" customHeight="1" x14ac:dyDescent="0.25">
      <c r="A50" s="786" t="s">
        <v>1458</v>
      </c>
      <c r="B50" s="169"/>
      <c r="C50" s="787"/>
      <c r="D50" s="788"/>
      <c r="E50" s="789">
        <v>228237336</v>
      </c>
      <c r="F50" s="789"/>
      <c r="G50" s="789">
        <v>25500000</v>
      </c>
      <c r="H50" s="789">
        <f>E50/12*12</f>
        <v>228237336</v>
      </c>
      <c r="I50" s="44"/>
      <c r="J50" s="124"/>
      <c r="K50" s="790">
        <f t="shared" si="16"/>
        <v>228237336</v>
      </c>
    </row>
    <row r="51" spans="1:11" ht="12.75" customHeight="1" x14ac:dyDescent="0.25">
      <c r="A51" s="982" t="s">
        <v>630</v>
      </c>
      <c r="B51" s="169"/>
      <c r="C51" s="749"/>
      <c r="D51" s="746"/>
      <c r="E51" s="734">
        <v>19000000</v>
      </c>
      <c r="F51" s="734"/>
      <c r="G51" s="734"/>
      <c r="H51" s="734">
        <f>E51/12*12</f>
        <v>19000000</v>
      </c>
      <c r="I51" s="44">
        <f t="shared" si="14"/>
        <v>-19000000</v>
      </c>
      <c r="J51" s="124">
        <f t="shared" si="15"/>
        <v>-1</v>
      </c>
      <c r="K51" s="736">
        <f t="shared" si="16"/>
        <v>19000000</v>
      </c>
    </row>
    <row r="52" spans="1:11" ht="12.75" customHeight="1" x14ac:dyDescent="0.25">
      <c r="A52" s="106" t="str">
        <f>A28</f>
        <v>District Municipality:</v>
      </c>
      <c r="B52" s="169"/>
      <c r="C52" s="516">
        <f t="shared" ref="C52:H52" si="17">SUM(C53:C53)</f>
        <v>0</v>
      </c>
      <c r="D52" s="475">
        <f t="shared" si="17"/>
        <v>0</v>
      </c>
      <c r="E52" s="430">
        <f t="shared" si="17"/>
        <v>0</v>
      </c>
      <c r="F52" s="430">
        <f t="shared" si="17"/>
        <v>0</v>
      </c>
      <c r="G52" s="430">
        <f t="shared" si="17"/>
        <v>0</v>
      </c>
      <c r="H52" s="430">
        <f t="shared" si="17"/>
        <v>0</v>
      </c>
      <c r="I52" s="514">
        <f t="shared" si="14"/>
        <v>0</v>
      </c>
      <c r="J52" s="553" t="str">
        <f t="shared" si="11"/>
        <v/>
      </c>
      <c r="K52" s="513">
        <f>SUM(K53:K53)</f>
        <v>0</v>
      </c>
    </row>
    <row r="53" spans="1:11" ht="12.75" customHeight="1" x14ac:dyDescent="0.25">
      <c r="A53" s="783"/>
      <c r="B53" s="169"/>
      <c r="C53" s="749"/>
      <c r="D53" s="746"/>
      <c r="E53" s="734"/>
      <c r="F53" s="734"/>
      <c r="G53" s="734"/>
      <c r="H53" s="734"/>
      <c r="I53" s="44">
        <f t="shared" si="14"/>
        <v>0</v>
      </c>
      <c r="J53" s="124" t="str">
        <f t="shared" si="11"/>
        <v/>
      </c>
      <c r="K53" s="736"/>
    </row>
    <row r="54" spans="1:11" ht="12.75" customHeight="1" x14ac:dyDescent="0.25">
      <c r="A54" s="106" t="str">
        <f>A30</f>
        <v>Other grant providers:</v>
      </c>
      <c r="B54" s="169"/>
      <c r="C54" s="516">
        <f t="shared" ref="C54:H54" si="18">SUM(C55:C55)</f>
        <v>0</v>
      </c>
      <c r="D54" s="475">
        <f t="shared" si="18"/>
        <v>0</v>
      </c>
      <c r="E54" s="430">
        <f t="shared" si="18"/>
        <v>0</v>
      </c>
      <c r="F54" s="430">
        <f t="shared" si="18"/>
        <v>0</v>
      </c>
      <c r="G54" s="430">
        <f t="shared" si="18"/>
        <v>0</v>
      </c>
      <c r="H54" s="430">
        <f t="shared" si="18"/>
        <v>0</v>
      </c>
      <c r="I54" s="514">
        <f t="shared" si="14"/>
        <v>0</v>
      </c>
      <c r="J54" s="553" t="str">
        <f t="shared" si="11"/>
        <v/>
      </c>
      <c r="K54" s="513">
        <f>SUM(K55:K55)</f>
        <v>0</v>
      </c>
    </row>
    <row r="55" spans="1:11" ht="12.75" customHeight="1" x14ac:dyDescent="0.25">
      <c r="A55" s="782"/>
      <c r="B55" s="169"/>
      <c r="C55" s="784"/>
      <c r="D55" s="785"/>
      <c r="E55" s="738"/>
      <c r="F55" s="738"/>
      <c r="G55" s="738"/>
      <c r="H55" s="738"/>
      <c r="I55" s="514">
        <f t="shared" si="14"/>
        <v>0</v>
      </c>
      <c r="J55" s="553" t="str">
        <f t="shared" si="11"/>
        <v/>
      </c>
      <c r="K55" s="739"/>
    </row>
    <row r="56" spans="1:11" ht="12.75" customHeight="1" x14ac:dyDescent="0.25">
      <c r="A56" s="558" t="s">
        <v>64</v>
      </c>
      <c r="B56" s="309">
        <v>5</v>
      </c>
      <c r="C56" s="516">
        <f t="shared" ref="C56:I56" si="19">C35+C44+C52+C54</f>
        <v>0</v>
      </c>
      <c r="D56" s="475">
        <f t="shared" si="19"/>
        <v>439342400</v>
      </c>
      <c r="E56" s="430">
        <f t="shared" si="19"/>
        <v>667412194</v>
      </c>
      <c r="F56" s="430">
        <f t="shared" si="19"/>
        <v>0</v>
      </c>
      <c r="G56" s="430">
        <f t="shared" si="19"/>
        <v>221264400</v>
      </c>
      <c r="H56" s="430">
        <f t="shared" si="19"/>
        <v>667412194</v>
      </c>
      <c r="I56" s="430">
        <f t="shared" si="19"/>
        <v>-446147794</v>
      </c>
      <c r="J56" s="554">
        <f t="shared" si="11"/>
        <v>-0.66847414238284053</v>
      </c>
      <c r="K56" s="513">
        <f>K35+K44+K52+K54</f>
        <v>667412194</v>
      </c>
    </row>
    <row r="57" spans="1:11" ht="5.0999999999999996" customHeight="1" x14ac:dyDescent="0.25">
      <c r="A57" s="555"/>
      <c r="B57" s="248"/>
      <c r="C57" s="249"/>
      <c r="D57" s="556"/>
      <c r="E57" s="99"/>
      <c r="F57" s="99"/>
      <c r="G57" s="99"/>
      <c r="H57" s="99"/>
      <c r="I57" s="99"/>
      <c r="J57" s="324"/>
      <c r="K57" s="195"/>
    </row>
    <row r="58" spans="1:11" ht="12.75" customHeight="1" x14ac:dyDescent="0.25">
      <c r="A58" s="557" t="s">
        <v>65</v>
      </c>
      <c r="B58" s="236">
        <v>5</v>
      </c>
      <c r="C58" s="160">
        <f t="shared" ref="C58:I58" si="20">C32+C56</f>
        <v>0</v>
      </c>
      <c r="D58" s="305">
        <f t="shared" si="20"/>
        <v>1111469846.4500003</v>
      </c>
      <c r="E58" s="306">
        <f t="shared" si="20"/>
        <v>1361386600</v>
      </c>
      <c r="F58" s="306">
        <f t="shared" si="20"/>
        <v>-545710.25999999046</v>
      </c>
      <c r="G58" s="306">
        <f t="shared" si="20"/>
        <v>1003687101.1900001</v>
      </c>
      <c r="H58" s="306">
        <f t="shared" si="20"/>
        <v>1361386600</v>
      </c>
      <c r="I58" s="306">
        <f t="shared" si="20"/>
        <v>-350042421.81</v>
      </c>
      <c r="J58" s="307">
        <f t="shared" si="11"/>
        <v>-0.25712198269764075</v>
      </c>
      <c r="K58" s="308">
        <f>K32+K56</f>
        <v>1361386600</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t="s">
        <v>984</v>
      </c>
      <c r="B60" s="58"/>
      <c r="C60" s="62"/>
      <c r="D60" s="62"/>
      <c r="E60" s="62"/>
      <c r="F60" s="62"/>
      <c r="G60" s="62"/>
      <c r="H60" s="62"/>
      <c r="I60" s="62"/>
      <c r="J60" s="62"/>
      <c r="K60" s="62"/>
    </row>
    <row r="61" spans="1:11" ht="12.75" customHeight="1" x14ac:dyDescent="0.25">
      <c r="A61" s="80" t="s">
        <v>936</v>
      </c>
      <c r="B61" s="58"/>
      <c r="C61" s="62"/>
      <c r="D61" s="62"/>
      <c r="E61" s="62"/>
      <c r="F61" s="62"/>
      <c r="G61" s="62"/>
      <c r="H61" s="62"/>
      <c r="I61" s="62"/>
      <c r="J61" s="62"/>
      <c r="K61" s="62"/>
    </row>
    <row r="62" spans="1:11" ht="12.75" customHeight="1" x14ac:dyDescent="0.25">
      <c r="A62" s="80" t="s">
        <v>826</v>
      </c>
      <c r="B62" s="58"/>
      <c r="C62" s="62"/>
      <c r="D62" s="62"/>
      <c r="E62" s="62"/>
      <c r="F62" s="62"/>
      <c r="G62" s="62"/>
      <c r="H62" s="62"/>
      <c r="I62" s="62"/>
      <c r="J62" s="62"/>
      <c r="K62" s="62"/>
    </row>
    <row r="63" spans="1:11" ht="12.75" customHeight="1" x14ac:dyDescent="0.25">
      <c r="A63" s="60" t="s">
        <v>525</v>
      </c>
      <c r="B63" s="58"/>
      <c r="C63" s="62"/>
      <c r="D63" s="62"/>
      <c r="E63" s="62"/>
      <c r="F63" s="62"/>
      <c r="G63" s="62"/>
      <c r="H63" s="62"/>
      <c r="I63" s="62"/>
      <c r="J63" s="62"/>
      <c r="K63" s="62"/>
    </row>
    <row r="64" spans="1:11" ht="12.75" customHeight="1" x14ac:dyDescent="0.25">
      <c r="A64" s="22" t="s">
        <v>609</v>
      </c>
      <c r="B64" s="64"/>
      <c r="C64" s="84"/>
      <c r="D64" s="93"/>
      <c r="E64" s="84"/>
      <c r="F64" s="84"/>
      <c r="G64" s="84"/>
      <c r="H64" s="84"/>
      <c r="I64" s="84"/>
      <c r="J64" s="84"/>
      <c r="K64" s="84"/>
    </row>
    <row r="65" spans="1:1" ht="11.25" customHeight="1" x14ac:dyDescent="0.25">
      <c r="A65" s="183"/>
    </row>
    <row r="66" spans="1:1" ht="11.25" customHeight="1" x14ac:dyDescent="0.25"/>
    <row r="67" spans="1:1" ht="11.25" customHeight="1" x14ac:dyDescent="0.25"/>
    <row r="68" spans="1:1" ht="11.25" customHeight="1" x14ac:dyDescent="0.25"/>
    <row r="69" spans="1:1" ht="11.25" customHeight="1" x14ac:dyDescent="0.25"/>
    <row r="70" spans="1:1" ht="11.25" customHeight="1" x14ac:dyDescent="0.25"/>
    <row r="71" spans="1:1" ht="11.25" customHeight="1" x14ac:dyDescent="0.25"/>
    <row r="72" spans="1:1" ht="11.25" customHeight="1" x14ac:dyDescent="0.25"/>
    <row r="73" spans="1:1" ht="11.25" customHeight="1" x14ac:dyDescent="0.25"/>
    <row r="74" spans="1:1" ht="11.25" customHeight="1" x14ac:dyDescent="0.25"/>
    <row r="75" spans="1:1" ht="11.25" customHeight="1" x14ac:dyDescent="0.25"/>
    <row r="76" spans="1:1" ht="11.25" customHeight="1" x14ac:dyDescent="0.25"/>
    <row r="77" spans="1:1" ht="11.25" customHeight="1" x14ac:dyDescent="0.25"/>
    <row r="78" spans="1:1" ht="11.25" customHeight="1" x14ac:dyDescent="0.25"/>
    <row r="79" spans="1:1" ht="11.25" customHeight="1" x14ac:dyDescent="0.25"/>
    <row r="80" spans="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sheetData>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7">
      <formula1>ProvOpexGrantNames</formula1>
    </dataValidation>
    <dataValidation type="list" allowBlank="1" showInputMessage="1" showErrorMessage="1" sqref="A36:A43">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9"/>
  <sheetViews>
    <sheetView showGridLines="0" showZeros="0" zoomScaleNormal="100" workbookViewId="0">
      <pane xSplit="1" ySplit="4" topLeftCell="B38" activePane="bottomRight" state="frozen"/>
      <selection pane="topRight"/>
      <selection pane="bottomLeft"/>
      <selection pane="bottomRight" activeCell="F50" sqref="F50:G51"/>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"&amp;S71M&amp; " - "&amp;Head57</f>
        <v>KZN225 Msunduzi - Supporting Table SC7(1) Monthly Budget Statement - transfers and grant expenditure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40132147.626000017</v>
      </c>
      <c r="G8" s="50">
        <f t="shared" si="0"/>
        <v>134571201.37799999</v>
      </c>
      <c r="H8" s="50">
        <f t="shared" si="0"/>
        <v>609689522</v>
      </c>
      <c r="I8" s="50">
        <f t="shared" si="0"/>
        <v>-475118320.62200004</v>
      </c>
      <c r="J8" s="343">
        <f t="shared" ref="J8:J32" si="1">IF(I8=0,"",I8/H8)</f>
        <v>-0.77927913057032994</v>
      </c>
      <c r="K8" s="194">
        <f>SUM(K9:K17)</f>
        <v>609689522</v>
      </c>
    </row>
    <row r="9" spans="1:11" x14ac:dyDescent="0.25">
      <c r="A9" s="396" t="str">
        <f>'SC6'!A9</f>
        <v>Local Government Equitable Share</v>
      </c>
      <c r="B9" s="169"/>
      <c r="C9" s="780"/>
      <c r="D9" s="781">
        <v>546052000</v>
      </c>
      <c r="E9" s="735">
        <v>546052000</v>
      </c>
      <c r="F9" s="735"/>
      <c r="G9" s="735"/>
      <c r="H9" s="734">
        <f>E9/12*12</f>
        <v>546052000</v>
      </c>
      <c r="I9" s="514">
        <f>G9-H9</f>
        <v>-546052000</v>
      </c>
      <c r="J9" s="553">
        <f t="shared" si="1"/>
        <v>-1</v>
      </c>
      <c r="K9" s="737">
        <f>E9</f>
        <v>546052000</v>
      </c>
    </row>
    <row r="10" spans="1:11" ht="12.75" customHeight="1" x14ac:dyDescent="0.25">
      <c r="A10" s="396" t="str">
        <f>'SC6'!A10</f>
        <v xml:space="preserve">Finance Management </v>
      </c>
      <c r="B10" s="169"/>
      <c r="C10" s="749"/>
      <c r="D10" s="746">
        <v>1700000</v>
      </c>
      <c r="E10" s="734">
        <v>1700000</v>
      </c>
      <c r="F10" s="734">
        <v>400465.81000000006</v>
      </c>
      <c r="G10" s="734">
        <v>1595350.55</v>
      </c>
      <c r="H10" s="734">
        <f>E10/12*12</f>
        <v>1700000</v>
      </c>
      <c r="I10" s="514">
        <f t="shared" ref="I10:I17" si="2">G10-H10</f>
        <v>-104649.44999999995</v>
      </c>
      <c r="J10" s="553">
        <f t="shared" ref="J10:J17" si="3">IF(I10=0,"",I10/H10)</f>
        <v>-6.1558499999999974E-2</v>
      </c>
      <c r="K10" s="736">
        <f>E10</f>
        <v>1700000</v>
      </c>
    </row>
    <row r="11" spans="1:11" ht="12.75" customHeight="1" x14ac:dyDescent="0.25">
      <c r="A11" s="396" t="str">
        <f>'SC6'!A11</f>
        <v>Municipal Systems Improvement</v>
      </c>
      <c r="B11" s="169"/>
      <c r="C11" s="749"/>
      <c r="D11" s="746"/>
      <c r="E11" s="734"/>
      <c r="F11" s="734"/>
      <c r="G11" s="734"/>
      <c r="H11" s="734"/>
      <c r="I11" s="514">
        <f t="shared" si="2"/>
        <v>0</v>
      </c>
      <c r="J11" s="553" t="str">
        <f t="shared" si="3"/>
        <v/>
      </c>
      <c r="K11" s="736"/>
    </row>
    <row r="12" spans="1:11" ht="12.75" customHeight="1" x14ac:dyDescent="0.25">
      <c r="A12" s="396" t="str">
        <f>'SC6'!A12</f>
        <v>EPWP Incentive</v>
      </c>
      <c r="B12" s="169"/>
      <c r="C12" s="749"/>
      <c r="D12" s="746">
        <v>4200000</v>
      </c>
      <c r="E12" s="734">
        <v>4200000</v>
      </c>
      <c r="F12" s="734"/>
      <c r="G12" s="734"/>
      <c r="H12" s="734">
        <f>E12/12*12</f>
        <v>4200000</v>
      </c>
      <c r="I12" s="514">
        <f t="shared" si="2"/>
        <v>-4200000</v>
      </c>
      <c r="J12" s="553">
        <f t="shared" si="3"/>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2"/>
        <v>0</v>
      </c>
      <c r="J13" s="553" t="str">
        <f t="shared" si="3"/>
        <v/>
      </c>
      <c r="K13" s="736"/>
    </row>
    <row r="14" spans="1:11" ht="12.75" customHeight="1" x14ac:dyDescent="0.25">
      <c r="A14" s="396" t="str">
        <f>'SC6'!A14</f>
        <v>Public Transport Infrastracture</v>
      </c>
      <c r="B14" s="169"/>
      <c r="C14" s="749"/>
      <c r="D14" s="746">
        <v>43829600</v>
      </c>
      <c r="E14" s="734">
        <v>43829600</v>
      </c>
      <c r="F14" s="734">
        <v>34666127.020000011</v>
      </c>
      <c r="G14" s="734">
        <v>116076558.06999999</v>
      </c>
      <c r="H14" s="734">
        <f>E14/12*12</f>
        <v>43829600</v>
      </c>
      <c r="I14" s="514">
        <f t="shared" si="2"/>
        <v>72246958.069999993</v>
      </c>
      <c r="J14" s="553">
        <f t="shared" si="3"/>
        <v>1.6483599683775347</v>
      </c>
      <c r="K14" s="736">
        <f>E14</f>
        <v>43829600</v>
      </c>
    </row>
    <row r="15" spans="1:11" ht="12.75" customHeight="1" x14ac:dyDescent="0.25">
      <c r="A15" s="396" t="str">
        <f>'SC6'!A15</f>
        <v>Energy Efficiency  and Demand Management</v>
      </c>
      <c r="B15" s="169"/>
      <c r="C15" s="749"/>
      <c r="D15" s="746"/>
      <c r="E15" s="734"/>
      <c r="F15" s="734"/>
      <c r="G15" s="734"/>
      <c r="H15" s="734"/>
      <c r="I15" s="514">
        <f t="shared" si="2"/>
        <v>0</v>
      </c>
      <c r="J15" s="553" t="str">
        <f t="shared" si="3"/>
        <v/>
      </c>
      <c r="K15" s="736"/>
    </row>
    <row r="16" spans="1:11" ht="12.75" customHeight="1" x14ac:dyDescent="0.25">
      <c r="A16" s="396" t="str">
        <f>'SC6'!A16</f>
        <v>Operating costs-MIG</v>
      </c>
      <c r="B16" s="169"/>
      <c r="C16" s="749"/>
      <c r="D16" s="746">
        <v>18000000</v>
      </c>
      <c r="E16" s="734">
        <v>13907922</v>
      </c>
      <c r="F16" s="734">
        <v>5065554.796000001</v>
      </c>
      <c r="G16" s="734">
        <v>16899292.758000001</v>
      </c>
      <c r="H16" s="734">
        <f>E16/12*12</f>
        <v>13907922</v>
      </c>
      <c r="I16" s="514">
        <f t="shared" si="2"/>
        <v>2991370.7580000013</v>
      </c>
      <c r="J16" s="553">
        <f t="shared" si="3"/>
        <v>0.21508394697640679</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2"/>
        <v>0</v>
      </c>
      <c r="J17" s="553" t="str">
        <f t="shared" si="3"/>
        <v/>
      </c>
      <c r="K17" s="736"/>
    </row>
    <row r="18" spans="1:11" ht="12.75" customHeight="1" x14ac:dyDescent="0.25">
      <c r="A18" s="397" t="str">
        <f>'SC6'!A18</f>
        <v>Provincial Government:</v>
      </c>
      <c r="B18" s="169"/>
      <c r="C18" s="516">
        <f t="shared" ref="C18:I18" si="4">SUM(C20:C27)</f>
        <v>0</v>
      </c>
      <c r="D18" s="475">
        <f t="shared" si="4"/>
        <v>58345846.450000115</v>
      </c>
      <c r="E18" s="430">
        <f t="shared" si="4"/>
        <v>77524650</v>
      </c>
      <c r="F18" s="430">
        <f>SUM(F20:F27)</f>
        <v>31991909.539999988</v>
      </c>
      <c r="G18" s="430">
        <f>SUM(G20:G27)</f>
        <v>103561673.03999999</v>
      </c>
      <c r="H18" s="430">
        <f t="shared" si="4"/>
        <v>77524650</v>
      </c>
      <c r="I18" s="430">
        <f t="shared" si="4"/>
        <v>17756616.069999997</v>
      </c>
      <c r="J18" s="554">
        <f t="shared" si="1"/>
        <v>0.2290447756939244</v>
      </c>
      <c r="K18" s="513">
        <f>SUM(K20:K27)</f>
        <v>77524650</v>
      </c>
    </row>
    <row r="19" spans="1:11" ht="12.75" customHeight="1" x14ac:dyDescent="0.25">
      <c r="A19" s="397" t="s">
        <v>630</v>
      </c>
      <c r="B19" s="169"/>
      <c r="C19" s="780"/>
      <c r="D19" s="781"/>
      <c r="E19" s="735">
        <v>6760234</v>
      </c>
      <c r="F19" s="735"/>
      <c r="G19" s="735"/>
      <c r="H19" s="735">
        <f>E19/12*12</f>
        <v>6760234</v>
      </c>
      <c r="I19" s="514"/>
      <c r="J19" s="553"/>
      <c r="K19" s="737">
        <f>E19</f>
        <v>6760234</v>
      </c>
    </row>
    <row r="20" spans="1:11" ht="12.75" customHeight="1" x14ac:dyDescent="0.25">
      <c r="A20" s="396" t="str">
        <f>'SC6'!A20</f>
        <v>Expanded Public Works Grant</v>
      </c>
      <c r="B20" s="169"/>
      <c r="C20" s="780"/>
      <c r="D20" s="781"/>
      <c r="E20" s="735"/>
      <c r="F20" s="735">
        <v>502500</v>
      </c>
      <c r="G20" s="735">
        <v>4200000</v>
      </c>
      <c r="H20" s="735"/>
      <c r="I20" s="514">
        <f t="shared" ref="I20:I31" si="5">G20-H20</f>
        <v>4200000</v>
      </c>
      <c r="J20" s="553" t="e">
        <f t="shared" si="1"/>
        <v>#DIV/0!</v>
      </c>
      <c r="K20" s="737"/>
    </row>
    <row r="21" spans="1:11" ht="12.75" customHeight="1" x14ac:dyDescent="0.25">
      <c r="A21" s="396" t="str">
        <f>'SC6'!A21</f>
        <v>Sport and Recreation</v>
      </c>
      <c r="B21" s="169"/>
      <c r="C21" s="749"/>
      <c r="D21" s="746"/>
      <c r="E21" s="734"/>
      <c r="F21" s="734"/>
      <c r="G21" s="734"/>
      <c r="H21" s="734"/>
      <c r="I21" s="44">
        <f t="shared" si="5"/>
        <v>0</v>
      </c>
      <c r="J21" s="124" t="str">
        <f t="shared" si="1"/>
        <v/>
      </c>
      <c r="K21" s="736"/>
    </row>
    <row r="22" spans="1:11" ht="12.75" customHeight="1" x14ac:dyDescent="0.25">
      <c r="A22" s="396" t="str">
        <f>'SC6'!A22</f>
        <v>Human Settlements</v>
      </c>
      <c r="B22" s="169"/>
      <c r="C22" s="749"/>
      <c r="D22" s="746">
        <v>26368617.450000115</v>
      </c>
      <c r="E22" s="734">
        <v>66041849</v>
      </c>
      <c r="F22" s="734">
        <v>-2230826.6700000092</v>
      </c>
      <c r="G22" s="734">
        <v>60811408.649999999</v>
      </c>
      <c r="H22" s="734">
        <f>E22/12*12</f>
        <v>66041849</v>
      </c>
      <c r="I22" s="44">
        <f t="shared" si="5"/>
        <v>-5230440.3500000015</v>
      </c>
      <c r="J22" s="124">
        <f t="shared" si="1"/>
        <v>-7.9198878123475938E-2</v>
      </c>
      <c r="K22" s="736">
        <f t="shared" ref="K22:K26" si="6">E22</f>
        <v>66041849</v>
      </c>
    </row>
    <row r="23" spans="1:11" ht="12.75" customHeight="1" x14ac:dyDescent="0.25">
      <c r="A23" s="396" t="str">
        <f>'SC6'!A23</f>
        <v>Arts and Culture- Community Library Services</v>
      </c>
      <c r="B23" s="169"/>
      <c r="C23" s="749"/>
      <c r="D23" s="746">
        <v>10061000</v>
      </c>
      <c r="E23" s="734">
        <v>10061000</v>
      </c>
      <c r="F23" s="734">
        <v>24431059.599999998</v>
      </c>
      <c r="G23" s="734">
        <v>28730497.789999999</v>
      </c>
      <c r="H23" s="734">
        <f>E23/12*12</f>
        <v>10061000</v>
      </c>
      <c r="I23" s="44">
        <f t="shared" si="5"/>
        <v>18669497.789999999</v>
      </c>
      <c r="J23" s="124">
        <f t="shared" si="1"/>
        <v>1.855630433356525</v>
      </c>
      <c r="K23" s="736">
        <f t="shared" si="6"/>
        <v>10061000</v>
      </c>
    </row>
    <row r="24" spans="1:11" ht="12.75" customHeight="1" x14ac:dyDescent="0.25">
      <c r="A24" s="396" t="str">
        <f>'SC6'!A24</f>
        <v>Arts and Culture- Provincialisation</v>
      </c>
      <c r="B24" s="169"/>
      <c r="C24" s="749"/>
      <c r="D24" s="746"/>
      <c r="E24" s="734"/>
      <c r="F24" s="734"/>
      <c r="G24" s="734"/>
      <c r="H24" s="734"/>
      <c r="I24" s="44">
        <f t="shared" si="5"/>
        <v>0</v>
      </c>
      <c r="J24" s="124" t="str">
        <f t="shared" si="1"/>
        <v/>
      </c>
      <c r="K24" s="736"/>
    </row>
    <row r="25" spans="1:11" ht="12.75" customHeight="1" x14ac:dyDescent="0.25">
      <c r="A25" s="396" t="str">
        <f>'SC6'!A25</f>
        <v>Arts and Culture-Museum Subsidies</v>
      </c>
      <c r="B25" s="169"/>
      <c r="C25" s="749"/>
      <c r="D25" s="746">
        <v>463000</v>
      </c>
      <c r="E25" s="734">
        <v>524958</v>
      </c>
      <c r="F25" s="734">
        <v>91748</v>
      </c>
      <c r="G25" s="734">
        <v>642516.63</v>
      </c>
      <c r="H25" s="734">
        <f>E25/12*12</f>
        <v>524958</v>
      </c>
      <c r="I25" s="44">
        <f t="shared" si="5"/>
        <v>117558.63</v>
      </c>
      <c r="J25" s="124">
        <f t="shared" si="1"/>
        <v>0.22393911512921036</v>
      </c>
      <c r="K25" s="736">
        <f t="shared" si="6"/>
        <v>524958</v>
      </c>
    </row>
    <row r="26" spans="1:11" ht="12.75" customHeight="1" x14ac:dyDescent="0.25">
      <c r="A26" s="396" t="s">
        <v>1449</v>
      </c>
      <c r="B26" s="169"/>
      <c r="C26" s="749"/>
      <c r="D26" s="746">
        <v>21453229</v>
      </c>
      <c r="E26" s="734">
        <v>896843</v>
      </c>
      <c r="F26" s="734">
        <v>9197428.6099999994</v>
      </c>
      <c r="G26" s="734">
        <v>9177249.9700000007</v>
      </c>
      <c r="H26" s="734">
        <f>E26/12*12</f>
        <v>896843</v>
      </c>
      <c r="I26" s="44"/>
      <c r="J26" s="124"/>
      <c r="K26" s="736">
        <f t="shared" si="6"/>
        <v>896843</v>
      </c>
    </row>
    <row r="27" spans="1:11" ht="12.75" customHeight="1" x14ac:dyDescent="0.25">
      <c r="A27" s="396" t="str">
        <f>'SC6'!A27</f>
        <v>MUNICIPAL DISASTER RELIEF GRANT</v>
      </c>
      <c r="B27" s="169"/>
      <c r="C27" s="749"/>
      <c r="D27" s="746"/>
      <c r="E27" s="734"/>
      <c r="F27" s="734"/>
      <c r="G27" s="734"/>
      <c r="H27" s="734">
        <f t="shared" ref="H27" si="7">E27/12*11</f>
        <v>0</v>
      </c>
      <c r="I27" s="44">
        <f t="shared" si="5"/>
        <v>0</v>
      </c>
      <c r="J27" s="124" t="str">
        <f t="shared" si="1"/>
        <v/>
      </c>
      <c r="K27" s="736"/>
    </row>
    <row r="28" spans="1:11" ht="12.75" customHeight="1" x14ac:dyDescent="0.25">
      <c r="A28" s="397" t="str">
        <f>'SC6'!A28</f>
        <v>District Municipality:</v>
      </c>
      <c r="B28" s="169"/>
      <c r="C28" s="516">
        <f t="shared" ref="C28:H28" si="8">SUM(C29:C29)</f>
        <v>0</v>
      </c>
      <c r="D28" s="475">
        <f t="shared" si="8"/>
        <v>0</v>
      </c>
      <c r="E28" s="430">
        <f t="shared" si="8"/>
        <v>0</v>
      </c>
      <c r="F28" s="430">
        <f t="shared" si="8"/>
        <v>0</v>
      </c>
      <c r="G28" s="430">
        <f t="shared" si="8"/>
        <v>0</v>
      </c>
      <c r="H28" s="430">
        <f t="shared" si="8"/>
        <v>0</v>
      </c>
      <c r="I28" s="514">
        <f t="shared" si="5"/>
        <v>0</v>
      </c>
      <c r="J28" s="553" t="str">
        <f t="shared" si="1"/>
        <v/>
      </c>
      <c r="K28" s="513">
        <f>SUM(K29:K29)</f>
        <v>0</v>
      </c>
    </row>
    <row r="29" spans="1:11" ht="12.75" customHeight="1" x14ac:dyDescent="0.25">
      <c r="A29" s="397"/>
      <c r="B29" s="169"/>
      <c r="C29" s="784"/>
      <c r="D29" s="785"/>
      <c r="E29" s="738"/>
      <c r="F29" s="738"/>
      <c r="G29" s="738"/>
      <c r="H29" s="738"/>
      <c r="I29" s="514">
        <f t="shared" si="5"/>
        <v>0</v>
      </c>
      <c r="J29" s="553" t="str">
        <f t="shared" si="1"/>
        <v/>
      </c>
      <c r="K29" s="739"/>
    </row>
    <row r="30" spans="1:11" ht="12.75" customHeight="1" x14ac:dyDescent="0.25">
      <c r="A30" s="397" t="str">
        <f>'SC6'!A30</f>
        <v>Other grant providers:</v>
      </c>
      <c r="B30" s="169"/>
      <c r="C30" s="516">
        <f t="shared" ref="C30:H30" si="9">SUM(C31:C31)</f>
        <v>0</v>
      </c>
      <c r="D30" s="475">
        <f t="shared" si="9"/>
        <v>0</v>
      </c>
      <c r="E30" s="430">
        <f t="shared" si="9"/>
        <v>0</v>
      </c>
      <c r="F30" s="430">
        <f t="shared" si="9"/>
        <v>0</v>
      </c>
      <c r="G30" s="430">
        <f t="shared" si="9"/>
        <v>0</v>
      </c>
      <c r="H30" s="430">
        <f t="shared" si="9"/>
        <v>0</v>
      </c>
      <c r="I30" s="514">
        <f t="shared" si="5"/>
        <v>0</v>
      </c>
      <c r="J30" s="553" t="str">
        <f t="shared" si="1"/>
        <v/>
      </c>
      <c r="K30" s="513">
        <f>SUM(K31:K31)</f>
        <v>0</v>
      </c>
    </row>
    <row r="31" spans="1:11" ht="12.75" customHeight="1" x14ac:dyDescent="0.25">
      <c r="A31" s="397"/>
      <c r="B31" s="169"/>
      <c r="C31" s="784"/>
      <c r="D31" s="785"/>
      <c r="E31" s="738"/>
      <c r="F31" s="738"/>
      <c r="G31" s="738"/>
      <c r="H31" s="738"/>
      <c r="I31" s="514">
        <f t="shared" si="5"/>
        <v>0</v>
      </c>
      <c r="J31" s="553" t="str">
        <f t="shared" si="1"/>
        <v/>
      </c>
      <c r="K31" s="739"/>
    </row>
    <row r="32" spans="1:11" ht="12.75" customHeight="1" x14ac:dyDescent="0.25">
      <c r="A32" s="559" t="s">
        <v>58</v>
      </c>
      <c r="B32" s="233"/>
      <c r="C32" s="243">
        <f t="shared" ref="C32:I32" si="10">C8+C18+C28+C30</f>
        <v>0</v>
      </c>
      <c r="D32" s="74">
        <f t="shared" si="10"/>
        <v>672127446.45000017</v>
      </c>
      <c r="E32" s="73">
        <f t="shared" si="10"/>
        <v>687214172</v>
      </c>
      <c r="F32" s="73">
        <f t="shared" si="10"/>
        <v>72124057.166000009</v>
      </c>
      <c r="G32" s="73">
        <f t="shared" si="10"/>
        <v>238132874.41799998</v>
      </c>
      <c r="H32" s="73">
        <f t="shared" si="10"/>
        <v>687214172</v>
      </c>
      <c r="I32" s="73">
        <f t="shared" si="10"/>
        <v>-457361704.55200005</v>
      </c>
      <c r="J32" s="304">
        <f t="shared" si="1"/>
        <v>-0.66553008245004597</v>
      </c>
      <c r="K32" s="145">
        <f>K8+K18+K28+K30</f>
        <v>687214172</v>
      </c>
    </row>
    <row r="33" spans="1:11" ht="5.0999999999999996" customHeight="1" x14ac:dyDescent="0.25">
      <c r="A33" s="42"/>
      <c r="B33" s="169"/>
      <c r="C33" s="134"/>
      <c r="D33" s="46"/>
      <c r="E33" s="44"/>
      <c r="F33" s="44"/>
      <c r="G33" s="44"/>
      <c r="H33" s="44"/>
      <c r="I33" s="44"/>
      <c r="J33" s="124"/>
      <c r="K33" s="144"/>
    </row>
    <row r="34" spans="1:11" ht="12.75" customHeight="1" x14ac:dyDescent="0.25">
      <c r="A34" s="550" t="s">
        <v>59</v>
      </c>
      <c r="B34" s="169"/>
      <c r="C34" s="134"/>
      <c r="D34" s="46"/>
      <c r="E34" s="44"/>
      <c r="F34" s="44"/>
      <c r="G34" s="44"/>
      <c r="H34" s="44"/>
      <c r="I34" s="44"/>
      <c r="J34" s="124"/>
      <c r="K34" s="144"/>
    </row>
    <row r="35" spans="1:11" ht="13.5" customHeight="1" x14ac:dyDescent="0.25">
      <c r="A35" s="342" t="str">
        <f>'SC6'!A35</f>
        <v>National Government:</v>
      </c>
      <c r="B35" s="169"/>
      <c r="C35" s="134">
        <f t="shared" ref="C35:I35" si="11">SUM(C36:C43)</f>
        <v>0</v>
      </c>
      <c r="D35" s="46">
        <f t="shared" si="11"/>
        <v>429351400</v>
      </c>
      <c r="E35" s="44">
        <f t="shared" si="11"/>
        <v>393443478</v>
      </c>
      <c r="F35" s="44">
        <f t="shared" si="11"/>
        <v>72047299.454000011</v>
      </c>
      <c r="G35" s="44">
        <f t="shared" si="11"/>
        <v>213792026.602</v>
      </c>
      <c r="H35" s="44">
        <f t="shared" si="11"/>
        <v>393443478</v>
      </c>
      <c r="I35" s="44">
        <f t="shared" si="11"/>
        <v>-179651451.398</v>
      </c>
      <c r="J35" s="343">
        <f t="shared" ref="J35:J55" si="12">IF(I35=0,"",I35/H35)</f>
        <v>-0.45661311330213483</v>
      </c>
      <c r="K35" s="144">
        <f>SUM(K36:K43)</f>
        <v>393443478</v>
      </c>
    </row>
    <row r="36" spans="1:11" ht="12.75" customHeight="1" x14ac:dyDescent="0.25">
      <c r="A36" s="396" t="str">
        <f>'SC6'!A36</f>
        <v xml:space="preserve"> Municipal Infrastructure Grant (MIG)</v>
      </c>
      <c r="B36" s="169"/>
      <c r="C36" s="780"/>
      <c r="D36" s="781">
        <v>179516000</v>
      </c>
      <c r="E36" s="735">
        <v>183608078</v>
      </c>
      <c r="F36" s="735">
        <v>45589993.164000005</v>
      </c>
      <c r="G36" s="735">
        <v>152093634.822</v>
      </c>
      <c r="H36" s="735">
        <f>E36/12*12</f>
        <v>183608078</v>
      </c>
      <c r="I36" s="514">
        <f t="shared" ref="I36:I43" si="13">G36-H36</f>
        <v>-31514443.178000003</v>
      </c>
      <c r="J36" s="553">
        <f t="shared" si="12"/>
        <v>-0.17163974222310635</v>
      </c>
      <c r="K36" s="737">
        <f t="shared" ref="K36:K38" si="14">E36</f>
        <v>183608078</v>
      </c>
    </row>
    <row r="37" spans="1:11" ht="12.75" customHeight="1" x14ac:dyDescent="0.25">
      <c r="A37" s="396" t="str">
        <f>'SC6'!A37</f>
        <v xml:space="preserve"> Public Transport and Systems</v>
      </c>
      <c r="B37" s="169"/>
      <c r="C37" s="749"/>
      <c r="D37" s="746">
        <v>150835400</v>
      </c>
      <c r="E37" s="734">
        <v>150835400</v>
      </c>
      <c r="F37" s="734"/>
      <c r="G37" s="734"/>
      <c r="H37" s="734">
        <f>E37/12*12</f>
        <v>150835400</v>
      </c>
      <c r="I37" s="44">
        <f t="shared" si="13"/>
        <v>-150835400</v>
      </c>
      <c r="J37" s="124">
        <f t="shared" si="12"/>
        <v>-1</v>
      </c>
      <c r="K37" s="736">
        <f t="shared" si="14"/>
        <v>150835400</v>
      </c>
    </row>
    <row r="38" spans="1:11" ht="12.75" customHeight="1" x14ac:dyDescent="0.25">
      <c r="A38" s="396" t="str">
        <f>'SC6'!A38</f>
        <v>Neighbourhood Development Partnership</v>
      </c>
      <c r="B38" s="169"/>
      <c r="C38" s="749"/>
      <c r="D38" s="746">
        <v>50000000</v>
      </c>
      <c r="E38" s="734">
        <v>10000000</v>
      </c>
      <c r="F38" s="734">
        <v>7698276.4499999993</v>
      </c>
      <c r="G38" s="734">
        <v>8658355.4399999995</v>
      </c>
      <c r="H38" s="734">
        <f>E38/12*12</f>
        <v>10000000</v>
      </c>
      <c r="I38" s="44">
        <f t="shared" si="13"/>
        <v>-1341644.5600000005</v>
      </c>
      <c r="J38" s="124">
        <f t="shared" si="12"/>
        <v>-0.13416445600000004</v>
      </c>
      <c r="K38" s="736">
        <f t="shared" si="14"/>
        <v>10000000</v>
      </c>
    </row>
    <row r="39" spans="1:11" ht="12.75" customHeight="1" x14ac:dyDescent="0.25">
      <c r="A39" s="396" t="str">
        <f>'SC6'!A39</f>
        <v>Dept of Mineral/Electricty</v>
      </c>
      <c r="B39" s="169"/>
      <c r="C39" s="749"/>
      <c r="D39" s="746"/>
      <c r="E39" s="734">
        <v>0</v>
      </c>
      <c r="F39" s="734"/>
      <c r="G39" s="734"/>
      <c r="H39" s="734"/>
      <c r="I39" s="44">
        <f t="shared" si="13"/>
        <v>0</v>
      </c>
      <c r="J39" s="124" t="str">
        <f t="shared" si="12"/>
        <v/>
      </c>
      <c r="K39" s="736"/>
    </row>
    <row r="40" spans="1:11" ht="12.75" customHeight="1" x14ac:dyDescent="0.25">
      <c r="A40" s="396" t="str">
        <f>'SC6'!A40</f>
        <v>Intergrated National Electrification Porgramme</v>
      </c>
      <c r="B40" s="169"/>
      <c r="C40" s="749"/>
      <c r="D40" s="746"/>
      <c r="E40" s="734">
        <v>0</v>
      </c>
      <c r="F40" s="734"/>
      <c r="G40" s="734"/>
      <c r="H40" s="734"/>
      <c r="I40" s="44">
        <f t="shared" si="13"/>
        <v>0</v>
      </c>
      <c r="J40" s="124" t="str">
        <f t="shared" si="12"/>
        <v/>
      </c>
      <c r="K40" s="736"/>
    </row>
    <row r="41" spans="1:11" ht="12.75" customHeight="1" x14ac:dyDescent="0.25">
      <c r="A41" s="396" t="str">
        <f>'SC6'!A41</f>
        <v>Municipal Systems Improvement</v>
      </c>
      <c r="B41" s="169"/>
      <c r="C41" s="749"/>
      <c r="D41" s="746"/>
      <c r="E41" s="734">
        <v>0</v>
      </c>
      <c r="F41" s="734"/>
      <c r="G41" s="734"/>
      <c r="H41" s="734"/>
      <c r="I41" s="44">
        <f t="shared" si="13"/>
        <v>0</v>
      </c>
      <c r="J41" s="124" t="str">
        <f t="shared" si="12"/>
        <v/>
      </c>
      <c r="K41" s="736"/>
    </row>
    <row r="42" spans="1:11" ht="12.75" customHeight="1" x14ac:dyDescent="0.25">
      <c r="A42" s="396" t="str">
        <f>'SC6'!A42</f>
        <v>Municipal Water Infrastructure Grant</v>
      </c>
      <c r="B42" s="169"/>
      <c r="C42" s="749"/>
      <c r="D42" s="746">
        <v>41000000</v>
      </c>
      <c r="E42" s="734">
        <v>41000000</v>
      </c>
      <c r="F42" s="734">
        <v>15379055.469999999</v>
      </c>
      <c r="G42" s="734">
        <v>46084091.969999999</v>
      </c>
      <c r="H42" s="734">
        <f>E42/12*12</f>
        <v>41000000</v>
      </c>
      <c r="I42" s="44">
        <f t="shared" si="13"/>
        <v>5084091.9699999988</v>
      </c>
      <c r="J42" s="124">
        <f t="shared" si="12"/>
        <v>0.12400224317073168</v>
      </c>
      <c r="K42" s="736">
        <f t="shared" ref="K42:K43" si="15">E42</f>
        <v>41000000</v>
      </c>
    </row>
    <row r="43" spans="1:11" ht="12.75" customHeight="1" x14ac:dyDescent="0.25">
      <c r="A43" s="396" t="str">
        <f>'SC6'!A43</f>
        <v>Energy Efficiency and Demand Manaagement</v>
      </c>
      <c r="B43" s="169"/>
      <c r="C43" s="749"/>
      <c r="D43" s="746">
        <v>8000000</v>
      </c>
      <c r="E43" s="734">
        <v>8000000</v>
      </c>
      <c r="F43" s="734">
        <v>3379974.37</v>
      </c>
      <c r="G43" s="734">
        <v>6955944.3700000001</v>
      </c>
      <c r="H43" s="734">
        <f>E43/12*12</f>
        <v>8000000</v>
      </c>
      <c r="I43" s="44">
        <f t="shared" si="13"/>
        <v>-1044055.6299999999</v>
      </c>
      <c r="J43" s="124">
        <f t="shared" si="12"/>
        <v>-0.13050695374999999</v>
      </c>
      <c r="K43" s="736">
        <f t="shared" si="15"/>
        <v>8000000</v>
      </c>
    </row>
    <row r="44" spans="1:11" ht="12.75" customHeight="1" x14ac:dyDescent="0.25">
      <c r="A44" s="397" t="str">
        <f>'SC6'!A44</f>
        <v>Provincial Government:</v>
      </c>
      <c r="B44" s="169"/>
      <c r="C44" s="516">
        <f t="shared" ref="C44:H44" si="16">SUM(C45:C51)</f>
        <v>0</v>
      </c>
      <c r="D44" s="475">
        <f t="shared" si="16"/>
        <v>9991000</v>
      </c>
      <c r="E44" s="430">
        <f t="shared" si="16"/>
        <v>273968716</v>
      </c>
      <c r="F44" s="430">
        <f t="shared" si="16"/>
        <v>14178459.399999999</v>
      </c>
      <c r="G44" s="430">
        <f t="shared" si="16"/>
        <v>26329073.780000001</v>
      </c>
      <c r="H44" s="430">
        <f t="shared" si="16"/>
        <v>273968716</v>
      </c>
      <c r="I44" s="514">
        <f t="shared" ref="I44:I55" si="17">G44-H44</f>
        <v>-247639642.22</v>
      </c>
      <c r="J44" s="553">
        <f t="shared" si="12"/>
        <v>-0.90389751733551937</v>
      </c>
      <c r="K44" s="513">
        <f>SUM(K45:K51)</f>
        <v>273968716</v>
      </c>
    </row>
    <row r="45" spans="1:11" ht="12.75" customHeight="1" x14ac:dyDescent="0.25">
      <c r="A45" s="397" t="str">
        <f>'SC6'!A45</f>
        <v>Airport Development Project</v>
      </c>
      <c r="B45" s="169"/>
      <c r="C45" s="784"/>
      <c r="D45" s="785"/>
      <c r="E45" s="738"/>
      <c r="F45" s="738"/>
      <c r="G45" s="738"/>
      <c r="H45" s="738"/>
      <c r="I45" s="514">
        <f t="shared" si="17"/>
        <v>0</v>
      </c>
      <c r="J45" s="553" t="str">
        <f t="shared" si="12"/>
        <v/>
      </c>
      <c r="K45" s="739"/>
    </row>
    <row r="46" spans="1:11" ht="12.75" customHeight="1" x14ac:dyDescent="0.25">
      <c r="A46" s="397" t="str">
        <f>'SC6'!A46</f>
        <v>Sport and Recreation</v>
      </c>
      <c r="B46" s="169"/>
      <c r="C46" s="787"/>
      <c r="D46" s="788"/>
      <c r="E46" s="789"/>
      <c r="F46" s="789"/>
      <c r="G46" s="789"/>
      <c r="H46" s="789"/>
      <c r="I46" s="44">
        <f t="shared" si="17"/>
        <v>0</v>
      </c>
      <c r="J46" s="124" t="str">
        <f t="shared" si="12"/>
        <v/>
      </c>
      <c r="K46" s="790"/>
    </row>
    <row r="47" spans="1:11" ht="12.75" customHeight="1" x14ac:dyDescent="0.25">
      <c r="A47" s="397" t="str">
        <f>'SC6'!A47</f>
        <v>KZNPA</v>
      </c>
      <c r="B47" s="169"/>
      <c r="C47" s="787"/>
      <c r="D47" s="788"/>
      <c r="E47" s="789"/>
      <c r="F47" s="789"/>
      <c r="G47" s="789"/>
      <c r="H47" s="789"/>
      <c r="I47" s="44">
        <f t="shared" si="17"/>
        <v>0</v>
      </c>
      <c r="J47" s="124" t="str">
        <f t="shared" si="12"/>
        <v/>
      </c>
      <c r="K47" s="790"/>
    </row>
    <row r="48" spans="1:11" ht="12.75" customHeight="1" x14ac:dyDescent="0.25">
      <c r="A48" s="397" t="str">
        <f>'SC6'!A48</f>
        <v>Arts and Culture-Museum Subsidies</v>
      </c>
      <c r="B48" s="169"/>
      <c r="C48" s="787"/>
      <c r="D48" s="788">
        <v>9991000</v>
      </c>
      <c r="E48" s="789">
        <v>16302519</v>
      </c>
      <c r="F48" s="789"/>
      <c r="G48" s="789"/>
      <c r="H48" s="789">
        <f>E48/12*12</f>
        <v>16302519</v>
      </c>
      <c r="I48" s="44">
        <f t="shared" si="17"/>
        <v>-16302519</v>
      </c>
      <c r="J48" s="124">
        <f t="shared" si="12"/>
        <v>-1</v>
      </c>
      <c r="K48" s="790">
        <f t="shared" ref="K48:K51" si="18">E48</f>
        <v>16302519</v>
      </c>
    </row>
    <row r="49" spans="1:11" ht="12.75" customHeight="1" x14ac:dyDescent="0.25">
      <c r="A49" s="397" t="str">
        <f>'SC6'!A49</f>
        <v>COGTA</v>
      </c>
      <c r="B49" s="169"/>
      <c r="C49" s="787"/>
      <c r="D49" s="788"/>
      <c r="E49" s="789">
        <v>10428861</v>
      </c>
      <c r="F49" s="789"/>
      <c r="G49" s="789"/>
      <c r="H49" s="789">
        <f>E49/12*12</f>
        <v>10428861</v>
      </c>
      <c r="I49" s="44">
        <f t="shared" si="17"/>
        <v>-10428861</v>
      </c>
      <c r="J49" s="124">
        <f t="shared" si="12"/>
        <v>-1</v>
      </c>
      <c r="K49" s="790">
        <f t="shared" si="18"/>
        <v>10428861</v>
      </c>
    </row>
    <row r="50" spans="1:11" ht="12.75" customHeight="1" x14ac:dyDescent="0.25">
      <c r="A50" s="397" t="s">
        <v>1458</v>
      </c>
      <c r="B50" s="169"/>
      <c r="C50" s="787"/>
      <c r="D50" s="788"/>
      <c r="E50" s="789">
        <v>228237336</v>
      </c>
      <c r="F50" s="789">
        <v>10533569.949999999</v>
      </c>
      <c r="G50" s="789">
        <v>11746893.699999999</v>
      </c>
      <c r="H50" s="789">
        <f>E50/12*12</f>
        <v>228237336</v>
      </c>
      <c r="I50" s="44"/>
      <c r="J50" s="124"/>
      <c r="K50" s="790">
        <f t="shared" si="18"/>
        <v>228237336</v>
      </c>
    </row>
    <row r="51" spans="1:11" ht="12.75" customHeight="1" x14ac:dyDescent="0.25">
      <c r="A51" s="397" t="s">
        <v>630</v>
      </c>
      <c r="B51" s="169"/>
      <c r="C51" s="749"/>
      <c r="D51" s="746"/>
      <c r="E51" s="734">
        <v>19000000</v>
      </c>
      <c r="F51" s="734">
        <v>3644889.4499999993</v>
      </c>
      <c r="G51" s="734">
        <v>14582180.08</v>
      </c>
      <c r="H51" s="734">
        <f>E51/12*12</f>
        <v>19000000</v>
      </c>
      <c r="I51" s="44">
        <f t="shared" si="17"/>
        <v>-4417819.92</v>
      </c>
      <c r="J51" s="124">
        <f t="shared" si="12"/>
        <v>-0.23251683789473684</v>
      </c>
      <c r="K51" s="736">
        <f t="shared" si="18"/>
        <v>19000000</v>
      </c>
    </row>
    <row r="52" spans="1:11" ht="12.75" customHeight="1" x14ac:dyDescent="0.25">
      <c r="A52" s="397" t="str">
        <f>'SC6'!A52</f>
        <v>District Municipality:</v>
      </c>
      <c r="B52" s="169"/>
      <c r="C52" s="516">
        <f t="shared" ref="C52:H52" si="19">SUM(C53:C53)</f>
        <v>0</v>
      </c>
      <c r="D52" s="475">
        <f t="shared" si="19"/>
        <v>0</v>
      </c>
      <c r="E52" s="430">
        <f t="shared" si="19"/>
        <v>0</v>
      </c>
      <c r="F52" s="430">
        <f t="shared" si="19"/>
        <v>0</v>
      </c>
      <c r="G52" s="430">
        <f t="shared" si="19"/>
        <v>0</v>
      </c>
      <c r="H52" s="430">
        <f t="shared" si="19"/>
        <v>0</v>
      </c>
      <c r="I52" s="514">
        <f t="shared" si="17"/>
        <v>0</v>
      </c>
      <c r="J52" s="553" t="str">
        <f t="shared" si="12"/>
        <v/>
      </c>
      <c r="K52" s="513">
        <f>SUM(K53:K53)</f>
        <v>0</v>
      </c>
    </row>
    <row r="53" spans="1:11" ht="12.75" customHeight="1" x14ac:dyDescent="0.25">
      <c r="A53" s="398">
        <f>'SC6'!A53</f>
        <v>0</v>
      </c>
      <c r="B53" s="169"/>
      <c r="C53" s="749"/>
      <c r="D53" s="746"/>
      <c r="E53" s="734"/>
      <c r="F53" s="734"/>
      <c r="G53" s="734"/>
      <c r="H53" s="734"/>
      <c r="I53" s="44">
        <f t="shared" si="17"/>
        <v>0</v>
      </c>
      <c r="J53" s="124" t="str">
        <f t="shared" si="12"/>
        <v/>
      </c>
      <c r="K53" s="736"/>
    </row>
    <row r="54" spans="1:11" ht="12.75" customHeight="1" x14ac:dyDescent="0.25">
      <c r="A54" s="397" t="str">
        <f>'SC6'!A54</f>
        <v>Other grant providers:</v>
      </c>
      <c r="B54" s="169"/>
      <c r="C54" s="516">
        <f t="shared" ref="C54:H54" si="20">SUM(C55:C55)</f>
        <v>0</v>
      </c>
      <c r="D54" s="475">
        <f t="shared" si="20"/>
        <v>0</v>
      </c>
      <c r="E54" s="430">
        <f t="shared" si="20"/>
        <v>0</v>
      </c>
      <c r="F54" s="430">
        <f t="shared" si="20"/>
        <v>0</v>
      </c>
      <c r="G54" s="430">
        <f t="shared" si="20"/>
        <v>0</v>
      </c>
      <c r="H54" s="430">
        <f t="shared" si="20"/>
        <v>0</v>
      </c>
      <c r="I54" s="514">
        <f t="shared" si="17"/>
        <v>0</v>
      </c>
      <c r="J54" s="553" t="str">
        <f t="shared" si="12"/>
        <v/>
      </c>
      <c r="K54" s="513">
        <f>SUM(K55:K55)</f>
        <v>0</v>
      </c>
    </row>
    <row r="55" spans="1:11" ht="12.75" customHeight="1" x14ac:dyDescent="0.25">
      <c r="A55" s="397"/>
      <c r="B55" s="169"/>
      <c r="C55" s="784"/>
      <c r="D55" s="785"/>
      <c r="E55" s="738"/>
      <c r="F55" s="738"/>
      <c r="G55" s="738"/>
      <c r="H55" s="738"/>
      <c r="I55" s="514">
        <f t="shared" si="17"/>
        <v>0</v>
      </c>
      <c r="J55" s="553" t="str">
        <f t="shared" si="12"/>
        <v/>
      </c>
      <c r="K55" s="739"/>
    </row>
    <row r="56" spans="1:11" ht="12.75" customHeight="1" x14ac:dyDescent="0.25">
      <c r="A56" s="558" t="s">
        <v>60</v>
      </c>
      <c r="B56" s="233"/>
      <c r="C56" s="243">
        <f t="shared" ref="C56:I56" si="21">C35+C44+C52+C54</f>
        <v>0</v>
      </c>
      <c r="D56" s="74">
        <f t="shared" si="21"/>
        <v>439342400</v>
      </c>
      <c r="E56" s="73">
        <f t="shared" si="21"/>
        <v>667412194</v>
      </c>
      <c r="F56" s="73">
        <f t="shared" si="21"/>
        <v>86225758.854000002</v>
      </c>
      <c r="G56" s="73">
        <f t="shared" si="21"/>
        <v>240121100.382</v>
      </c>
      <c r="H56" s="73">
        <f t="shared" si="21"/>
        <v>667412194</v>
      </c>
      <c r="I56" s="73">
        <f t="shared" si="21"/>
        <v>-427291093.61800003</v>
      </c>
      <c r="J56" s="304">
        <f>IF(I56=0,"",I56/H56)</f>
        <v>-0.64022068739427318</v>
      </c>
      <c r="K56" s="145">
        <f>K35+K44+K52+K54</f>
        <v>667412194</v>
      </c>
    </row>
    <row r="57" spans="1:11" ht="5.0999999999999996" customHeight="1" x14ac:dyDescent="0.25">
      <c r="A57" s="549"/>
      <c r="B57" s="169"/>
      <c r="C57" s="134"/>
      <c r="D57" s="46"/>
      <c r="E57" s="44"/>
      <c r="F57" s="44"/>
      <c r="G57" s="44"/>
      <c r="H57" s="44"/>
      <c r="I57" s="44"/>
      <c r="J57" s="124"/>
      <c r="K57" s="144"/>
    </row>
    <row r="58" spans="1:11" ht="12.75" customHeight="1" x14ac:dyDescent="0.25">
      <c r="A58" s="688" t="s">
        <v>136</v>
      </c>
      <c r="B58" s="284"/>
      <c r="C58" s="112">
        <f t="shared" ref="C58:I58" si="22">C32+C56</f>
        <v>0</v>
      </c>
      <c r="D58" s="56">
        <f t="shared" si="22"/>
        <v>1111469846.4500003</v>
      </c>
      <c r="E58" s="55">
        <f t="shared" si="22"/>
        <v>1354626366</v>
      </c>
      <c r="F58" s="55">
        <f t="shared" si="22"/>
        <v>158349816.02000001</v>
      </c>
      <c r="G58" s="55">
        <f t="shared" si="22"/>
        <v>478253974.79999995</v>
      </c>
      <c r="H58" s="55">
        <f t="shared" si="22"/>
        <v>1354626366</v>
      </c>
      <c r="I58" s="55">
        <f t="shared" si="22"/>
        <v>-884652798.17000008</v>
      </c>
      <c r="J58" s="290">
        <f>IF(I58=0,"",I58/H58)</f>
        <v>-0.65306037175567577</v>
      </c>
      <c r="K58" s="235">
        <f>K32+K56</f>
        <v>1354626366</v>
      </c>
    </row>
    <row r="59" spans="1:11" ht="12.75" customHeight="1" x14ac:dyDescent="0.25">
      <c r="A59" s="57" t="str">
        <f>head27a</f>
        <v>References</v>
      </c>
      <c r="B59" s="58"/>
      <c r="C59" s="62"/>
      <c r="D59" s="62"/>
      <c r="E59" s="62"/>
      <c r="F59" s="62"/>
      <c r="G59" s="62"/>
      <c r="H59" s="62"/>
      <c r="I59" s="62"/>
      <c r="J59" s="62"/>
      <c r="K59" s="62"/>
    </row>
    <row r="60" spans="1:11" ht="12.75" customHeight="1" x14ac:dyDescent="0.25">
      <c r="A60" s="80"/>
      <c r="B60" s="58"/>
      <c r="C60" s="67"/>
      <c r="D60" s="67"/>
      <c r="E60" s="67"/>
      <c r="F60" s="67"/>
      <c r="G60" s="67"/>
      <c r="H60" s="67"/>
      <c r="I60" s="67"/>
      <c r="J60" s="67"/>
      <c r="K60" s="67"/>
    </row>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7" t="str">
        <f>muni&amp; " - "&amp;S71T&amp; " - "&amp;Head57</f>
        <v>KZN225 Msunduzi - Supporting Table SC7(2) Monthly Budget Statement - Expenditure against approved rollovers - Q4 Fourth Quarter</v>
      </c>
      <c r="B1" s="1037"/>
      <c r="C1" s="1037"/>
      <c r="D1" s="1037"/>
      <c r="E1" s="1037"/>
      <c r="F1" s="1037"/>
      <c r="G1" s="1037"/>
    </row>
    <row r="2" spans="1:7" ht="21.75" customHeight="1" x14ac:dyDescent="0.25">
      <c r="A2" s="1026" t="str">
        <f>desc</f>
        <v>Description</v>
      </c>
      <c r="B2" s="1019" t="str">
        <f>head27</f>
        <v>Ref</v>
      </c>
      <c r="C2" s="1021" t="str">
        <f>Head2</f>
        <v>Budget Year 2019/20</v>
      </c>
      <c r="D2" s="1022"/>
      <c r="E2" s="1022"/>
      <c r="F2" s="1022"/>
      <c r="G2" s="1023"/>
    </row>
    <row r="3" spans="1:7" ht="39.75" customHeight="1" x14ac:dyDescent="0.25">
      <c r="A3" s="1027"/>
      <c r="B3" s="1030"/>
      <c r="C3" s="199" t="str">
        <f>"Approved Rollover " &amp;Head1</f>
        <v>Approved Rollover 2018/19</v>
      </c>
      <c r="D3" s="141" t="str">
        <f>Head38</f>
        <v>Monthly actual</v>
      </c>
      <c r="E3" s="141" t="str">
        <f>Head39</f>
        <v>YearTD actual</v>
      </c>
      <c r="F3" s="141" t="str">
        <f>Head41</f>
        <v>YTD variance</v>
      </c>
      <c r="G3" s="905" t="str">
        <f>Head41</f>
        <v>YTD variance</v>
      </c>
    </row>
    <row r="4" spans="1:7" x14ac:dyDescent="0.25">
      <c r="A4" s="291" t="s">
        <v>674</v>
      </c>
      <c r="B4" s="248"/>
      <c r="C4" s="293"/>
      <c r="D4" s="295"/>
      <c r="E4" s="904"/>
      <c r="F4" s="295"/>
      <c r="G4" s="906"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7" t="str">
        <f>IF(F8=0,"",F8/C8)</f>
        <v/>
      </c>
    </row>
    <row r="9" spans="1:7" x14ac:dyDescent="0.25">
      <c r="A9" s="396" t="str">
        <f>'SC6'!A9</f>
        <v>Local Government Equitable Share</v>
      </c>
      <c r="B9" s="169"/>
      <c r="C9" s="781"/>
      <c r="D9" s="735"/>
      <c r="E9" s="735"/>
      <c r="F9" s="514">
        <f>E9-C9</f>
        <v>0</v>
      </c>
      <c r="G9" s="908"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09" t="str">
        <f t="shared" si="0"/>
        <v/>
      </c>
    </row>
    <row r="17" spans="1:7" ht="12.75" customHeight="1" x14ac:dyDescent="0.25">
      <c r="A17" s="396" t="str">
        <f>'SC6'!A20</f>
        <v>Expanded Public Works Grant</v>
      </c>
      <c r="B17" s="169"/>
      <c r="C17" s="781"/>
      <c r="D17" s="735"/>
      <c r="E17" s="735"/>
      <c r="F17" s="514">
        <f>C17-E17</f>
        <v>0</v>
      </c>
      <c r="G17" s="908"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'SC6'!A27</f>
        <v>MUNICIPAL DISASTER RELIEF GRANT</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'SC6'!A28</f>
        <v>District Municipality:</v>
      </c>
      <c r="B22" s="169"/>
      <c r="C22" s="475">
        <f>SUM(C23:C24)</f>
        <v>0</v>
      </c>
      <c r="D22" s="430">
        <f>SUM(D23:D24)</f>
        <v>0</v>
      </c>
      <c r="E22" s="430">
        <f>SUM(E23:E24)</f>
        <v>0</v>
      </c>
      <c r="F22" s="514">
        <f>SUM(F23:F24)</f>
        <v>0</v>
      </c>
      <c r="G22" s="908" t="str">
        <f t="shared" si="0"/>
        <v/>
      </c>
    </row>
    <row r="23" spans="1:7" ht="12.75" customHeight="1" x14ac:dyDescent="0.25">
      <c r="A23" s="397"/>
      <c r="B23" s="169"/>
      <c r="C23" s="785"/>
      <c r="D23" s="738"/>
      <c r="E23" s="738"/>
      <c r="F23" s="514">
        <f>C23-E23</f>
        <v>0</v>
      </c>
      <c r="G23" s="908" t="str">
        <f t="shared" si="0"/>
        <v/>
      </c>
    </row>
    <row r="24" spans="1:7" ht="12.75" customHeight="1" x14ac:dyDescent="0.25">
      <c r="A24" s="398">
        <f>'SC6'!A29</f>
        <v>0</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8" t="str">
        <f t="shared" si="0"/>
        <v/>
      </c>
    </row>
    <row r="26" spans="1:7" ht="12.75" customHeight="1" x14ac:dyDescent="0.25">
      <c r="A26" s="397"/>
      <c r="B26" s="169"/>
      <c r="C26" s="785"/>
      <c r="D26" s="738"/>
      <c r="E26" s="738"/>
      <c r="F26" s="514">
        <f>C26-E26</f>
        <v>0</v>
      </c>
      <c r="G26" s="908" t="str">
        <f t="shared" si="0"/>
        <v/>
      </c>
    </row>
    <row r="27" spans="1:7" ht="12.75" customHeight="1" x14ac:dyDescent="0.25">
      <c r="A27" s="398">
        <f>'SC6'!A31</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0"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'SC6'!A35</f>
        <v>National Government:</v>
      </c>
      <c r="B31" s="169"/>
      <c r="C31" s="46">
        <f>SUM(C32:C37)</f>
        <v>0</v>
      </c>
      <c r="D31" s="44">
        <f>SUM(D32:D37)</f>
        <v>0</v>
      </c>
      <c r="E31" s="44">
        <f>SUM(E32:E37)</f>
        <v>0</v>
      </c>
      <c r="F31" s="44">
        <f>SUM(F32:F37)</f>
        <v>0</v>
      </c>
      <c r="G31" s="907" t="str">
        <f t="shared" si="0"/>
        <v/>
      </c>
    </row>
    <row r="32" spans="1:7" ht="12.75" customHeight="1" x14ac:dyDescent="0.25">
      <c r="A32" s="396" t="str">
        <f>'SC6'!A36</f>
        <v xml:space="preserve"> Municipal Infrastructure Grant (MIG)</v>
      </c>
      <c r="B32" s="169"/>
      <c r="C32" s="781"/>
      <c r="D32" s="735"/>
      <c r="E32" s="735"/>
      <c r="F32" s="514">
        <f t="shared" ref="F32:F37" si="2">C32-E32</f>
        <v>0</v>
      </c>
      <c r="G32" s="908" t="str">
        <f t="shared" si="0"/>
        <v/>
      </c>
    </row>
    <row r="33" spans="1:7" ht="12.75" customHeight="1" x14ac:dyDescent="0.25">
      <c r="A33" s="396" t="str">
        <f>'SC6'!A41</f>
        <v>Municipal Systems Improvement</v>
      </c>
      <c r="B33" s="169"/>
      <c r="C33" s="746"/>
      <c r="D33" s="734"/>
      <c r="E33" s="734"/>
      <c r="F33" s="44">
        <f t="shared" si="2"/>
        <v>0</v>
      </c>
      <c r="G33" s="276" t="str">
        <f t="shared" si="0"/>
        <v/>
      </c>
    </row>
    <row r="34" spans="1:7" ht="12.75" customHeight="1" x14ac:dyDescent="0.25">
      <c r="A34" s="396" t="str">
        <f>'SC6'!A42</f>
        <v>Municipal Water Infrastructure Grant</v>
      </c>
      <c r="B34" s="169"/>
      <c r="C34" s="746"/>
      <c r="D34" s="734"/>
      <c r="E34" s="734"/>
      <c r="F34" s="44">
        <f t="shared" si="2"/>
        <v>0</v>
      </c>
      <c r="G34" s="276" t="str">
        <f t="shared" si="0"/>
        <v/>
      </c>
    </row>
    <row r="35" spans="1:7" ht="12.75" customHeight="1" x14ac:dyDescent="0.25">
      <c r="A35" s="396" t="str">
        <f>'SC6'!A43</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'SC6'!A44</f>
        <v>Provincial Government:</v>
      </c>
      <c r="B38" s="169"/>
      <c r="C38" s="475">
        <f>SUM(C39:C40)</f>
        <v>0</v>
      </c>
      <c r="D38" s="430">
        <f>SUM(D39:D40)</f>
        <v>0</v>
      </c>
      <c r="E38" s="430">
        <f>SUM(E39:E40)</f>
        <v>0</v>
      </c>
      <c r="F38" s="514">
        <f>SUM(F39:F40)</f>
        <v>0</v>
      </c>
      <c r="G38" s="908" t="str">
        <f t="shared" si="0"/>
        <v/>
      </c>
    </row>
    <row r="39" spans="1:7" ht="12.75" customHeight="1" x14ac:dyDescent="0.25">
      <c r="A39" s="397"/>
      <c r="B39" s="169"/>
      <c r="C39" s="785"/>
      <c r="D39" s="738"/>
      <c r="E39" s="738"/>
      <c r="F39" s="514">
        <f>C39-E39</f>
        <v>0</v>
      </c>
      <c r="G39" s="908" t="str">
        <f t="shared" si="0"/>
        <v/>
      </c>
    </row>
    <row r="40" spans="1:7" ht="12.75" customHeight="1" x14ac:dyDescent="0.25">
      <c r="A40" s="396" t="str">
        <f>'SC6'!A51</f>
        <v>Provincial Government:</v>
      </c>
      <c r="B40" s="169"/>
      <c r="C40" s="746"/>
      <c r="D40" s="734"/>
      <c r="E40" s="734"/>
      <c r="F40" s="44">
        <f>C40-E40</f>
        <v>0</v>
      </c>
      <c r="G40" s="276" t="str">
        <f t="shared" si="0"/>
        <v/>
      </c>
    </row>
    <row r="41" spans="1:7" ht="12.75" customHeight="1" x14ac:dyDescent="0.25">
      <c r="A41" s="397" t="str">
        <f>'SC6'!A52</f>
        <v>District Municipality:</v>
      </c>
      <c r="B41" s="169"/>
      <c r="C41" s="475">
        <f>SUM(C42:C43)</f>
        <v>0</v>
      </c>
      <c r="D41" s="430">
        <f>SUM(D42:D43)</f>
        <v>0</v>
      </c>
      <c r="E41" s="430">
        <f>SUM(E42:E43)</f>
        <v>0</v>
      </c>
      <c r="F41" s="514">
        <f>SUM(F42:F43)</f>
        <v>0</v>
      </c>
      <c r="G41" s="908" t="str">
        <f t="shared" si="0"/>
        <v/>
      </c>
    </row>
    <row r="42" spans="1:7" ht="12.75" customHeight="1" x14ac:dyDescent="0.25">
      <c r="A42" s="397"/>
      <c r="B42" s="169"/>
      <c r="C42" s="785"/>
      <c r="D42" s="738"/>
      <c r="E42" s="738"/>
      <c r="F42" s="514">
        <f>C42-E42</f>
        <v>0</v>
      </c>
      <c r="G42" s="908" t="str">
        <f t="shared" si="0"/>
        <v/>
      </c>
    </row>
    <row r="43" spans="1:7" ht="12.75" customHeight="1" x14ac:dyDescent="0.25">
      <c r="A43" s="398">
        <f>'SC6'!A53</f>
        <v>0</v>
      </c>
      <c r="B43" s="169"/>
      <c r="C43" s="746"/>
      <c r="D43" s="734"/>
      <c r="E43" s="734"/>
      <c r="F43" s="44">
        <f>C43-E43</f>
        <v>0</v>
      </c>
      <c r="G43" s="276" t="str">
        <f t="shared" si="0"/>
        <v/>
      </c>
    </row>
    <row r="44" spans="1:7" ht="12.75" customHeight="1" x14ac:dyDescent="0.25">
      <c r="A44" s="397" t="str">
        <f>'SC6'!A54</f>
        <v>Other grant providers:</v>
      </c>
      <c r="B44" s="169"/>
      <c r="C44" s="475">
        <f>SUM(C45:C46)</f>
        <v>0</v>
      </c>
      <c r="D44" s="430">
        <f>SUM(D45:D46)</f>
        <v>0</v>
      </c>
      <c r="E44" s="430">
        <f>SUM(E45:E46)</f>
        <v>0</v>
      </c>
      <c r="F44" s="514">
        <f>SUM(F45:F46)</f>
        <v>0</v>
      </c>
      <c r="G44" s="908" t="str">
        <f t="shared" si="0"/>
        <v/>
      </c>
    </row>
    <row r="45" spans="1:7" ht="12.75" customHeight="1" x14ac:dyDescent="0.25">
      <c r="A45" s="397"/>
      <c r="B45" s="169"/>
      <c r="C45" s="785"/>
      <c r="D45" s="738"/>
      <c r="E45" s="738"/>
      <c r="F45" s="514">
        <f>C45-E45</f>
        <v>0</v>
      </c>
      <c r="G45" s="908"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0"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1"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80" activePane="bottomRight" state="frozen"/>
      <selection pane="topRight"/>
      <selection pane="bottomLeft"/>
      <selection pane="bottomRight" activeCell="K95" sqref="K95"/>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"&amp;S71N&amp; " - "&amp;Head57</f>
        <v>KZN225 Msunduzi - Supporting Table SC8 Monthly Budget Statement - councillor and staff benefits  - Q4 Fourth Quarter</v>
      </c>
      <c r="B1" s="1037"/>
      <c r="C1" s="1037"/>
      <c r="D1" s="1037"/>
      <c r="E1" s="1037"/>
      <c r="F1" s="1037"/>
      <c r="G1" s="1037"/>
      <c r="H1" s="1037"/>
      <c r="I1" s="1037"/>
      <c r="J1" s="1037"/>
      <c r="K1" s="1037"/>
    </row>
    <row r="2" spans="1:11" x14ac:dyDescent="0.25">
      <c r="A2" s="1026" t="s">
        <v>657</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2543716.89</v>
      </c>
      <c r="G7" s="734">
        <v>30256659.039999999</v>
      </c>
      <c r="H7" s="734">
        <f t="shared" ref="H7:H12" si="0">E7/12*12</f>
        <v>15155747.5</v>
      </c>
      <c r="I7" s="44">
        <f t="shared" ref="I7:I14" si="1">G7-H7</f>
        <v>15100911.539999999</v>
      </c>
      <c r="J7" s="330">
        <f t="shared" ref="J7:J14" si="2">IF(I7=0,"",I7/H7)</f>
        <v>0.99638183731947227</v>
      </c>
      <c r="K7" s="736">
        <f t="shared" ref="K7:K12" si="3">E7</f>
        <v>15155747.5</v>
      </c>
    </row>
    <row r="8" spans="1:11" ht="12.75" customHeight="1" x14ac:dyDescent="0.25">
      <c r="A8" s="518" t="s">
        <v>1061</v>
      </c>
      <c r="B8" s="169"/>
      <c r="C8" s="749"/>
      <c r="D8" s="746">
        <v>6020662.2000000002</v>
      </c>
      <c r="E8" s="734">
        <v>6020662.2000000002</v>
      </c>
      <c r="F8" s="734">
        <v>331881.50999999995</v>
      </c>
      <c r="G8" s="734">
        <v>3935559.2399999998</v>
      </c>
      <c r="H8" s="734">
        <f t="shared" si="0"/>
        <v>6020662.2000000002</v>
      </c>
      <c r="I8" s="44">
        <f t="shared" si="1"/>
        <v>-2085102.9600000004</v>
      </c>
      <c r="J8" s="330">
        <f t="shared" si="2"/>
        <v>-0.34632452224275267</v>
      </c>
      <c r="K8" s="736">
        <f t="shared" si="3"/>
        <v>6020662.2000000002</v>
      </c>
    </row>
    <row r="9" spans="1:11" ht="12.75" customHeight="1" x14ac:dyDescent="0.25">
      <c r="A9" s="518" t="s">
        <v>433</v>
      </c>
      <c r="B9" s="169"/>
      <c r="C9" s="749"/>
      <c r="D9" s="746">
        <v>10103832.02</v>
      </c>
      <c r="E9" s="734">
        <v>10103832.02</v>
      </c>
      <c r="F9" s="734">
        <v>163187.31</v>
      </c>
      <c r="G9" s="734">
        <v>1745122.8099999996</v>
      </c>
      <c r="H9" s="734">
        <f t="shared" si="0"/>
        <v>10103832.02</v>
      </c>
      <c r="I9" s="44">
        <f t="shared" si="1"/>
        <v>-8358709.21</v>
      </c>
      <c r="J9" s="330">
        <f t="shared" si="2"/>
        <v>-0.82728109428723462</v>
      </c>
      <c r="K9" s="736">
        <f t="shared" si="3"/>
        <v>10103832.02</v>
      </c>
    </row>
    <row r="10" spans="1:11" ht="12.75" customHeight="1" x14ac:dyDescent="0.25">
      <c r="A10" s="518" t="s">
        <v>1062</v>
      </c>
      <c r="B10" s="169"/>
      <c r="C10" s="749"/>
      <c r="D10" s="746">
        <v>10103833.08</v>
      </c>
      <c r="E10" s="734">
        <v>10103833.08</v>
      </c>
      <c r="F10" s="734">
        <v>464748.38</v>
      </c>
      <c r="G10" s="734">
        <v>5587712.0900000008</v>
      </c>
      <c r="H10" s="734">
        <f t="shared" si="0"/>
        <v>10103833.08</v>
      </c>
      <c r="I10" s="44">
        <f>G10-H10</f>
        <v>-4516120.9899999993</v>
      </c>
      <c r="J10" s="330">
        <f>IF(I10=0,"",I10/H10)</f>
        <v>-0.44697106080853816</v>
      </c>
      <c r="K10" s="736">
        <f t="shared" si="3"/>
        <v>10103833.08</v>
      </c>
    </row>
    <row r="11" spans="1:11" ht="12.75" customHeight="1" x14ac:dyDescent="0.25">
      <c r="A11" s="39" t="s">
        <v>1063</v>
      </c>
      <c r="B11" s="169"/>
      <c r="C11" s="749"/>
      <c r="D11" s="746">
        <v>5051917.6000000006</v>
      </c>
      <c r="E11" s="734">
        <v>5051917.6000000006</v>
      </c>
      <c r="F11" s="734">
        <v>171920.47999999998</v>
      </c>
      <c r="G11" s="734">
        <v>2023431.33</v>
      </c>
      <c r="H11" s="734">
        <f t="shared" si="0"/>
        <v>5051917.6000000006</v>
      </c>
      <c r="I11" s="44">
        <f>G11-H11</f>
        <v>-3028486.2700000005</v>
      </c>
      <c r="J11" s="330">
        <f>IF(I11=0,"",I11/H11)</f>
        <v>-0.59947261808070662</v>
      </c>
      <c r="K11" s="736">
        <f t="shared" si="3"/>
        <v>5051917.6000000006</v>
      </c>
    </row>
    <row r="12" spans="1:11" ht="12.75" customHeight="1" x14ac:dyDescent="0.25">
      <c r="A12" s="39" t="s">
        <v>1064</v>
      </c>
      <c r="B12" s="169"/>
      <c r="C12" s="749"/>
      <c r="D12" s="746">
        <v>5051916.54</v>
      </c>
      <c r="E12" s="734">
        <v>5051916.54</v>
      </c>
      <c r="F12" s="734">
        <v>11074.34</v>
      </c>
      <c r="G12" s="734">
        <v>135053.58999999997</v>
      </c>
      <c r="H12" s="734">
        <f t="shared" si="0"/>
        <v>5051916.54</v>
      </c>
      <c r="I12" s="44">
        <f>G12-H12</f>
        <v>-4916862.95</v>
      </c>
      <c r="J12" s="330">
        <f>IF(I12=0,"",I12/H12)</f>
        <v>-0.97326686042204491</v>
      </c>
      <c r="K12" s="736">
        <f t="shared" si="3"/>
        <v>5051916.54</v>
      </c>
    </row>
    <row r="13" spans="1:11" ht="12.75" customHeight="1" x14ac:dyDescent="0.25">
      <c r="A13" s="39" t="s">
        <v>1065</v>
      </c>
      <c r="B13" s="169"/>
      <c r="C13" s="749"/>
      <c r="D13" s="746"/>
      <c r="E13" s="734"/>
      <c r="F13" s="734">
        <v>4855.8599999999997</v>
      </c>
      <c r="G13" s="734">
        <v>75785.73</v>
      </c>
      <c r="H13" s="734"/>
      <c r="I13" s="44">
        <f t="shared" si="1"/>
        <v>75785.73</v>
      </c>
      <c r="J13" s="330" t="e">
        <f t="shared" si="2"/>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3691384.7699999996</v>
      </c>
      <c r="G14" s="430">
        <f t="shared" si="4"/>
        <v>43759323.830000006</v>
      </c>
      <c r="H14" s="430">
        <f t="shared" si="4"/>
        <v>51487908.939999998</v>
      </c>
      <c r="I14" s="430">
        <f t="shared" si="1"/>
        <v>-7728585.109999992</v>
      </c>
      <c r="J14" s="431">
        <f t="shared" si="2"/>
        <v>-0.15010485508367186</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1331765.82</v>
      </c>
      <c r="G18" s="734">
        <v>15359510.560000001</v>
      </c>
      <c r="H18" s="734">
        <f>E18/12*12</f>
        <v>9990976.3200000022</v>
      </c>
      <c r="I18" s="44">
        <f t="shared" ref="I18:I30" si="5">G18-H18</f>
        <v>5368534.2399999984</v>
      </c>
      <c r="J18" s="330">
        <f t="shared" ref="J18:J29" si="6">IF(I18=0,"",I18/H18)</f>
        <v>0.53733830088789536</v>
      </c>
      <c r="K18" s="736">
        <f>E18</f>
        <v>9990976.3200000022</v>
      </c>
    </row>
    <row r="19" spans="1:11" ht="12.75" customHeight="1" x14ac:dyDescent="0.25">
      <c r="A19" s="39" t="s">
        <v>1061</v>
      </c>
      <c r="B19" s="169"/>
      <c r="C19" s="749"/>
      <c r="D19" s="746">
        <v>1369033.92</v>
      </c>
      <c r="E19" s="734">
        <v>1369033.92</v>
      </c>
      <c r="F19" s="734">
        <v>242702.15000000008</v>
      </c>
      <c r="G19" s="734">
        <v>2901996.88</v>
      </c>
      <c r="H19" s="734">
        <f>E19/12*12</f>
        <v>1369033.92</v>
      </c>
      <c r="I19" s="44">
        <f t="shared" si="5"/>
        <v>1532962.96</v>
      </c>
      <c r="J19" s="330">
        <f t="shared" si="6"/>
        <v>1.1197406708520414</v>
      </c>
      <c r="K19" s="736">
        <f>E19</f>
        <v>1369033.92</v>
      </c>
    </row>
    <row r="20" spans="1:11" ht="12.75" customHeight="1" x14ac:dyDescent="0.25">
      <c r="A20" s="39" t="s">
        <v>433</v>
      </c>
      <c r="B20" s="169"/>
      <c r="C20" s="749"/>
      <c r="D20" s="746">
        <v>150548.76</v>
      </c>
      <c r="E20" s="734">
        <v>150548.76</v>
      </c>
      <c r="F20" s="734">
        <v>59075.85</v>
      </c>
      <c r="G20" s="734">
        <v>663780.19999999995</v>
      </c>
      <c r="H20" s="734">
        <f>E20/12*12</f>
        <v>150548.76</v>
      </c>
      <c r="I20" s="44">
        <f t="shared" si="5"/>
        <v>513231.43999999994</v>
      </c>
      <c r="J20" s="330">
        <f t="shared" si="6"/>
        <v>3.4090711873017083</v>
      </c>
      <c r="K20" s="736">
        <f>E20</f>
        <v>150548.76</v>
      </c>
    </row>
    <row r="21" spans="1:11" ht="12.75" customHeight="1" x14ac:dyDescent="0.25">
      <c r="A21" s="39" t="s">
        <v>546</v>
      </c>
      <c r="B21" s="169"/>
      <c r="C21" s="749"/>
      <c r="D21" s="746"/>
      <c r="E21" s="734"/>
      <c r="F21" s="734"/>
      <c r="G21" s="734"/>
      <c r="H21" s="734"/>
      <c r="I21" s="44">
        <f t="shared" si="5"/>
        <v>0</v>
      </c>
      <c r="J21" s="330" t="str">
        <f t="shared" si="6"/>
        <v/>
      </c>
      <c r="K21" s="736"/>
    </row>
    <row r="22" spans="1:11" ht="12.75" customHeight="1" x14ac:dyDescent="0.25">
      <c r="A22" s="39" t="s">
        <v>435</v>
      </c>
      <c r="B22" s="169"/>
      <c r="C22" s="749"/>
      <c r="D22" s="746">
        <v>625097.52</v>
      </c>
      <c r="E22" s="734">
        <v>625097.52</v>
      </c>
      <c r="F22" s="734">
        <v>4538.8500000000004</v>
      </c>
      <c r="G22" s="734">
        <v>1477340.4</v>
      </c>
      <c r="H22" s="734">
        <f>E22/12*12</f>
        <v>625097.52</v>
      </c>
      <c r="I22" s="44">
        <f>G22-H22</f>
        <v>852242.87999999989</v>
      </c>
      <c r="J22" s="330">
        <f>IF(I22=0,"",I22/H22)</f>
        <v>1.3633758777350451</v>
      </c>
      <c r="K22" s="736">
        <f>E22</f>
        <v>625097.52</v>
      </c>
    </row>
    <row r="23" spans="1:11" ht="12.75" customHeight="1" x14ac:dyDescent="0.25">
      <c r="A23" s="39" t="s">
        <v>1062</v>
      </c>
      <c r="B23" s="169"/>
      <c r="C23" s="749"/>
      <c r="D23" s="746">
        <v>1200349.8000000003</v>
      </c>
      <c r="E23" s="734">
        <v>1200349.8000000003</v>
      </c>
      <c r="F23" s="734">
        <v>131022.25</v>
      </c>
      <c r="G23" s="734">
        <v>1932088.74</v>
      </c>
      <c r="H23" s="734">
        <f>E23/12*12</f>
        <v>1200349.8000000003</v>
      </c>
      <c r="I23" s="44">
        <f>G23-H23</f>
        <v>731738.93999999971</v>
      </c>
      <c r="J23" s="330">
        <f>IF(I23=0,"",I23/H23)</f>
        <v>0.60960475021531191</v>
      </c>
      <c r="K23" s="736">
        <f>E23</f>
        <v>1200349.8000000003</v>
      </c>
    </row>
    <row r="24" spans="1:11" ht="12.75" customHeight="1" x14ac:dyDescent="0.25">
      <c r="A24" s="39" t="s">
        <v>1063</v>
      </c>
      <c r="B24" s="169"/>
      <c r="C24" s="749"/>
      <c r="D24" s="746">
        <v>104366.88</v>
      </c>
      <c r="E24" s="734">
        <v>104366.88</v>
      </c>
      <c r="F24" s="734">
        <v>13100</v>
      </c>
      <c r="G24" s="734">
        <v>148700</v>
      </c>
      <c r="H24" s="734">
        <f>E24/12*12</f>
        <v>104366.88</v>
      </c>
      <c r="I24" s="44">
        <f>G24-H24</f>
        <v>44333.119999999995</v>
      </c>
      <c r="J24" s="330">
        <f>IF(I24=0,"",I24/H24)</f>
        <v>0.42478150156448091</v>
      </c>
      <c r="K24" s="736">
        <f>E24</f>
        <v>104366.88</v>
      </c>
    </row>
    <row r="25" spans="1:11" ht="12.75" customHeight="1" x14ac:dyDescent="0.25">
      <c r="A25" s="39" t="s">
        <v>1064</v>
      </c>
      <c r="B25" s="169"/>
      <c r="C25" s="749"/>
      <c r="D25" s="746">
        <v>710097.84</v>
      </c>
      <c r="E25" s="734">
        <v>710097.84</v>
      </c>
      <c r="F25" s="734">
        <v>24985.47</v>
      </c>
      <c r="G25" s="734">
        <v>331286.78999999998</v>
      </c>
      <c r="H25" s="734">
        <f>E25/12*12</f>
        <v>710097.84</v>
      </c>
      <c r="I25" s="44">
        <f>G25-H25</f>
        <v>-378811.05</v>
      </c>
      <c r="J25" s="330">
        <f>IF(I25=0,"",I25/H25)</f>
        <v>-0.53346317741228444</v>
      </c>
      <c r="K25" s="736">
        <f>E25</f>
        <v>710097.84</v>
      </c>
    </row>
    <row r="26" spans="1:11" ht="12.75" customHeight="1" x14ac:dyDescent="0.25">
      <c r="A26" s="39" t="s">
        <v>1065</v>
      </c>
      <c r="B26" s="169"/>
      <c r="C26" s="749"/>
      <c r="D26" s="746"/>
      <c r="E26" s="734"/>
      <c r="F26" s="734">
        <v>-78482073.469999999</v>
      </c>
      <c r="G26" s="734">
        <v>-74966262.609999999</v>
      </c>
      <c r="H26" s="734"/>
      <c r="I26" s="44">
        <f t="shared" si="5"/>
        <v>-74966262.609999999</v>
      </c>
      <c r="J26" s="330" t="e">
        <f t="shared" si="6"/>
        <v>#DIV/0!</v>
      </c>
      <c r="K26" s="736"/>
    </row>
    <row r="27" spans="1:11" ht="12.75" customHeight="1" x14ac:dyDescent="0.25">
      <c r="A27" s="39" t="s">
        <v>1066</v>
      </c>
      <c r="B27" s="169"/>
      <c r="C27" s="749"/>
      <c r="D27" s="746"/>
      <c r="E27" s="734"/>
      <c r="F27" s="734"/>
      <c r="G27" s="734"/>
      <c r="H27" s="734"/>
      <c r="I27" s="44">
        <f t="shared" si="5"/>
        <v>0</v>
      </c>
      <c r="J27" s="330" t="str">
        <f t="shared" si="6"/>
        <v/>
      </c>
      <c r="K27" s="736"/>
    </row>
    <row r="28" spans="1:11" ht="12.75" customHeight="1" x14ac:dyDescent="0.25">
      <c r="A28" s="39" t="s">
        <v>1067</v>
      </c>
      <c r="B28" s="169"/>
      <c r="C28" s="749"/>
      <c r="D28" s="746"/>
      <c r="E28" s="734"/>
      <c r="F28" s="734">
        <v>-3695702.9</v>
      </c>
      <c r="G28" s="734">
        <v>-3360834.7</v>
      </c>
      <c r="H28" s="734"/>
      <c r="I28" s="44">
        <f t="shared" si="5"/>
        <v>-3360834.7</v>
      </c>
      <c r="J28" s="330" t="e">
        <f t="shared" si="6"/>
        <v>#DIV/0!</v>
      </c>
      <c r="K28" s="736"/>
    </row>
    <row r="29" spans="1:11" ht="12.75" customHeight="1" x14ac:dyDescent="0.25">
      <c r="A29" s="39" t="s">
        <v>1068</v>
      </c>
      <c r="B29" s="169">
        <v>2</v>
      </c>
      <c r="C29" s="749"/>
      <c r="D29" s="746"/>
      <c r="E29" s="734"/>
      <c r="F29" s="734"/>
      <c r="G29" s="734"/>
      <c r="H29" s="734"/>
      <c r="I29" s="44">
        <f t="shared" si="5"/>
        <v>0</v>
      </c>
      <c r="J29" s="330" t="str">
        <f t="shared" si="6"/>
        <v/>
      </c>
      <c r="K29" s="736"/>
    </row>
    <row r="30" spans="1:11" ht="12.75" customHeight="1" x14ac:dyDescent="0.25">
      <c r="A30" s="87" t="s">
        <v>436</v>
      </c>
      <c r="B30" s="169"/>
      <c r="C30" s="516">
        <f t="shared" ref="C30:K30" si="7">SUM(C18:C29)</f>
        <v>0</v>
      </c>
      <c r="D30" s="475">
        <f t="shared" si="7"/>
        <v>14150471.040000003</v>
      </c>
      <c r="E30" s="430">
        <f t="shared" si="7"/>
        <v>14150471.040000003</v>
      </c>
      <c r="F30" s="430">
        <f>SUM(F18:F29)</f>
        <v>-80370585.980000004</v>
      </c>
      <c r="G30" s="430">
        <f>SUM(G18:G29)</f>
        <v>-55512393.74000001</v>
      </c>
      <c r="H30" s="430">
        <f>SUM(H18:H29)</f>
        <v>14150471.040000003</v>
      </c>
      <c r="I30" s="430">
        <f t="shared" si="5"/>
        <v>-69662864.780000016</v>
      </c>
      <c r="J30" s="431">
        <f>IF(I30=0,"",I30/H30)</f>
        <v>-4.923006773631756</v>
      </c>
      <c r="K30" s="513">
        <f t="shared" si="7"/>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60255094.359999985</v>
      </c>
      <c r="G34" s="734">
        <v>730504244.9799999</v>
      </c>
      <c r="H34" s="734">
        <f t="shared" ref="H34:H42" si="8">E34/12*12</f>
        <v>873322464.56000042</v>
      </c>
      <c r="I34" s="44">
        <f t="shared" ref="I34:I46" si="9">G34-H34</f>
        <v>-142818219.58000052</v>
      </c>
      <c r="J34" s="330">
        <f t="shared" ref="J34:J45" si="10">IF(I34=0,"",I34/H34)</f>
        <v>-0.16353434770735636</v>
      </c>
      <c r="K34" s="736">
        <f t="shared" ref="K34:K42" si="11">E34</f>
        <v>873322464.5600003</v>
      </c>
    </row>
    <row r="35" spans="1:11" ht="12.75" customHeight="1" x14ac:dyDescent="0.25">
      <c r="A35" s="518" t="s">
        <v>1061</v>
      </c>
      <c r="B35" s="169"/>
      <c r="C35" s="749"/>
      <c r="D35" s="746">
        <v>177669450.28</v>
      </c>
      <c r="E35" s="734">
        <v>177669450.28</v>
      </c>
      <c r="F35" s="734">
        <v>12928467.299999999</v>
      </c>
      <c r="G35" s="734">
        <v>158009145.20000005</v>
      </c>
      <c r="H35" s="734">
        <f t="shared" si="8"/>
        <v>177669450.28</v>
      </c>
      <c r="I35" s="44">
        <f t="shared" si="9"/>
        <v>-19660305.079999954</v>
      </c>
      <c r="J35" s="330">
        <f t="shared" si="10"/>
        <v>-0.11065664383503238</v>
      </c>
      <c r="K35" s="736">
        <f t="shared" si="11"/>
        <v>177669450.28</v>
      </c>
    </row>
    <row r="36" spans="1:11" ht="12.75" customHeight="1" x14ac:dyDescent="0.25">
      <c r="A36" s="518" t="s">
        <v>433</v>
      </c>
      <c r="B36" s="169"/>
      <c r="C36" s="749"/>
      <c r="D36" s="746">
        <v>66845862.320000008</v>
      </c>
      <c r="E36" s="734">
        <v>66845862.320000008</v>
      </c>
      <c r="F36" s="734">
        <v>53308944.019999988</v>
      </c>
      <c r="G36" s="734">
        <v>107252831.40000004</v>
      </c>
      <c r="H36" s="734">
        <f t="shared" si="8"/>
        <v>66845862.320000008</v>
      </c>
      <c r="I36" s="44">
        <f t="shared" si="9"/>
        <v>40406969.080000028</v>
      </c>
      <c r="J36" s="330">
        <f t="shared" si="10"/>
        <v>0.60447973408685352</v>
      </c>
      <c r="K36" s="736">
        <f t="shared" si="11"/>
        <v>66845862.320000008</v>
      </c>
    </row>
    <row r="37" spans="1:11" ht="12.75" customHeight="1" x14ac:dyDescent="0.25">
      <c r="A37" s="518" t="s">
        <v>546</v>
      </c>
      <c r="B37" s="169"/>
      <c r="C37" s="749"/>
      <c r="D37" s="746">
        <v>70151846.040000007</v>
      </c>
      <c r="E37" s="734">
        <v>70151846.040000007</v>
      </c>
      <c r="F37" s="734">
        <v>11222944.700000003</v>
      </c>
      <c r="G37" s="734">
        <v>97967909.040000021</v>
      </c>
      <c r="H37" s="734">
        <f t="shared" si="8"/>
        <v>70151846.040000007</v>
      </c>
      <c r="I37" s="44">
        <f t="shared" si="9"/>
        <v>27816063.000000015</v>
      </c>
      <c r="J37" s="330">
        <f t="shared" si="10"/>
        <v>0.39651220274573423</v>
      </c>
      <c r="K37" s="736">
        <f t="shared" si="11"/>
        <v>70151846.040000007</v>
      </c>
    </row>
    <row r="38" spans="1:11" ht="12.75" customHeight="1" x14ac:dyDescent="0.25">
      <c r="A38" s="518" t="s">
        <v>435</v>
      </c>
      <c r="B38" s="169"/>
      <c r="C38" s="749"/>
      <c r="D38" s="746">
        <v>66720212.440000005</v>
      </c>
      <c r="E38" s="734">
        <v>66720212.440000005</v>
      </c>
      <c r="F38" s="734">
        <v>178581.33</v>
      </c>
      <c r="G38" s="734">
        <v>60009803.639999986</v>
      </c>
      <c r="H38" s="734">
        <f t="shared" si="8"/>
        <v>66720212.440000013</v>
      </c>
      <c r="I38" s="44">
        <f t="shared" si="9"/>
        <v>-6710408.8000000268</v>
      </c>
      <c r="J38" s="330">
        <f t="shared" si="10"/>
        <v>-0.10057535122560568</v>
      </c>
      <c r="K38" s="736">
        <f t="shared" si="11"/>
        <v>66720212.440000005</v>
      </c>
    </row>
    <row r="39" spans="1:11" ht="12.75" customHeight="1" x14ac:dyDescent="0.25">
      <c r="A39" s="518" t="s">
        <v>1062</v>
      </c>
      <c r="B39" s="169"/>
      <c r="C39" s="749"/>
      <c r="D39" s="746">
        <v>23337512.04000001</v>
      </c>
      <c r="E39" s="734">
        <v>23337512.04000001</v>
      </c>
      <c r="F39" s="734">
        <v>1854991.8200000005</v>
      </c>
      <c r="G39" s="734">
        <v>25739927.40000001</v>
      </c>
      <c r="H39" s="734">
        <f t="shared" si="8"/>
        <v>23337512.04000001</v>
      </c>
      <c r="I39" s="44">
        <f>G39-H39</f>
        <v>2402415.3599999994</v>
      </c>
      <c r="J39" s="330">
        <f>IF(I39=0,"",I39/H39)</f>
        <v>0.10294222262777238</v>
      </c>
      <c r="K39" s="736">
        <f t="shared" si="11"/>
        <v>23337512.04000001</v>
      </c>
    </row>
    <row r="40" spans="1:11" ht="12.75" customHeight="1" x14ac:dyDescent="0.25">
      <c r="A40" s="518" t="s">
        <v>1063</v>
      </c>
      <c r="B40" s="169"/>
      <c r="C40" s="749"/>
      <c r="D40" s="746">
        <v>4061595.4800000018</v>
      </c>
      <c r="E40" s="734">
        <v>4061595.4800000018</v>
      </c>
      <c r="F40" s="734">
        <v>303651.51</v>
      </c>
      <c r="G40" s="734">
        <v>3656716.0399999996</v>
      </c>
      <c r="H40" s="734">
        <f t="shared" si="8"/>
        <v>4061595.4800000018</v>
      </c>
      <c r="I40" s="44">
        <f>G40-H40</f>
        <v>-404879.44000000227</v>
      </c>
      <c r="J40" s="330">
        <f>IF(I40=0,"",I40/H40)</f>
        <v>-9.9684826318548608E-2</v>
      </c>
      <c r="K40" s="736">
        <f t="shared" si="11"/>
        <v>4061595.4800000018</v>
      </c>
    </row>
    <row r="41" spans="1:11" ht="12.75" customHeight="1" x14ac:dyDescent="0.25">
      <c r="A41" s="518" t="s">
        <v>1064</v>
      </c>
      <c r="B41" s="169"/>
      <c r="C41" s="749"/>
      <c r="D41" s="746">
        <v>7336035.0000000047</v>
      </c>
      <c r="E41" s="734">
        <v>7336035.0000000047</v>
      </c>
      <c r="F41" s="734">
        <v>315903.95999999996</v>
      </c>
      <c r="G41" s="734">
        <v>4002146.470000003</v>
      </c>
      <c r="H41" s="734">
        <f t="shared" si="8"/>
        <v>7336035.0000000037</v>
      </c>
      <c r="I41" s="44">
        <f>G41-H41</f>
        <v>-3333888.5300000007</v>
      </c>
      <c r="J41" s="330">
        <f>IF(I41=0,"",I41/H41)</f>
        <v>-0.45445373829323321</v>
      </c>
      <c r="K41" s="736">
        <f t="shared" si="11"/>
        <v>7336035.0000000047</v>
      </c>
    </row>
    <row r="42" spans="1:11" ht="12.75" customHeight="1" x14ac:dyDescent="0.25">
      <c r="A42" s="518" t="s">
        <v>1065</v>
      </c>
      <c r="B42" s="169"/>
      <c r="C42" s="749"/>
      <c r="D42" s="746">
        <v>43995170.519999996</v>
      </c>
      <c r="E42" s="734">
        <v>43995170.519999996</v>
      </c>
      <c r="F42" s="734">
        <v>7804083.3199999994</v>
      </c>
      <c r="G42" s="734">
        <v>79725667.710000023</v>
      </c>
      <c r="H42" s="734">
        <f t="shared" si="8"/>
        <v>43995170.519999996</v>
      </c>
      <c r="I42" s="44">
        <f t="shared" si="9"/>
        <v>35730497.190000027</v>
      </c>
      <c r="J42" s="330">
        <f t="shared" si="10"/>
        <v>0.81214589619006283</v>
      </c>
      <c r="K42" s="736">
        <f t="shared" si="11"/>
        <v>43995170.519999996</v>
      </c>
    </row>
    <row r="43" spans="1:11" ht="12.75" customHeight="1" x14ac:dyDescent="0.25">
      <c r="A43" s="518" t="s">
        <v>1066</v>
      </c>
      <c r="B43" s="169"/>
      <c r="C43" s="749"/>
      <c r="D43" s="746"/>
      <c r="E43" s="734"/>
      <c r="F43" s="734"/>
      <c r="G43" s="734"/>
      <c r="H43" s="734"/>
      <c r="I43" s="44">
        <f t="shared" si="9"/>
        <v>0</v>
      </c>
      <c r="J43" s="330" t="str">
        <f t="shared" si="10"/>
        <v/>
      </c>
      <c r="K43" s="736"/>
    </row>
    <row r="44" spans="1:11" ht="12.75" customHeight="1" x14ac:dyDescent="0.25">
      <c r="A44" s="518" t="s">
        <v>1067</v>
      </c>
      <c r="B44" s="169"/>
      <c r="C44" s="749"/>
      <c r="D44" s="746">
        <v>22777230.240000006</v>
      </c>
      <c r="E44" s="734">
        <v>22777230.240000006</v>
      </c>
      <c r="F44" s="734">
        <v>10276140.35</v>
      </c>
      <c r="G44" s="734">
        <v>30935423.489999998</v>
      </c>
      <c r="H44" s="734">
        <f>E44/12*12</f>
        <v>22777230.240000006</v>
      </c>
      <c r="I44" s="44">
        <f t="shared" si="9"/>
        <v>8158193.2499999925</v>
      </c>
      <c r="J44" s="330">
        <f t="shared" si="10"/>
        <v>0.35817319156185473</v>
      </c>
      <c r="K44" s="736">
        <f>E44</f>
        <v>22777230.240000006</v>
      </c>
    </row>
    <row r="45" spans="1:11" ht="12.75" customHeight="1" x14ac:dyDescent="0.25">
      <c r="A45" s="518" t="s">
        <v>1068</v>
      </c>
      <c r="B45" s="169">
        <v>2</v>
      </c>
      <c r="C45" s="749"/>
      <c r="D45" s="746"/>
      <c r="E45" s="734"/>
      <c r="F45" s="734"/>
      <c r="G45" s="734"/>
      <c r="H45" s="734"/>
      <c r="I45" s="44">
        <f t="shared" si="9"/>
        <v>0</v>
      </c>
      <c r="J45" s="330" t="str">
        <f t="shared" si="10"/>
        <v/>
      </c>
      <c r="K45" s="736"/>
    </row>
    <row r="46" spans="1:11" ht="12.75" customHeight="1" x14ac:dyDescent="0.25">
      <c r="A46" s="87" t="s">
        <v>438</v>
      </c>
      <c r="B46" s="169"/>
      <c r="C46" s="516">
        <f t="shared" ref="C46:K46" si="12">SUM(C34:C45)</f>
        <v>0</v>
      </c>
      <c r="D46" s="475">
        <f t="shared" si="12"/>
        <v>1356217378.9200003</v>
      </c>
      <c r="E46" s="430">
        <f t="shared" si="12"/>
        <v>1356217378.9200003</v>
      </c>
      <c r="F46" s="430">
        <f>SUM(F34:F45)</f>
        <v>158448802.66999999</v>
      </c>
      <c r="G46" s="430">
        <f>SUM(G34:G45)</f>
        <v>1297803815.3699999</v>
      </c>
      <c r="H46" s="430">
        <f>SUM(H34:H45)</f>
        <v>1356217378.9200003</v>
      </c>
      <c r="I46" s="430">
        <f t="shared" si="9"/>
        <v>-58413563.550000429</v>
      </c>
      <c r="J46" s="431">
        <f>IF(I46=0,"",I46/H46)</f>
        <v>-4.307094456827934E-2</v>
      </c>
      <c r="K46" s="513">
        <f t="shared" si="12"/>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3">D14+D30+D46</f>
        <v>1421855758.9000003</v>
      </c>
      <c r="E49" s="73">
        <f t="shared" si="13"/>
        <v>1421855758.9000003</v>
      </c>
      <c r="F49" s="73">
        <f t="shared" si="13"/>
        <v>81769601.459999979</v>
      </c>
      <c r="G49" s="73">
        <f t="shared" si="13"/>
        <v>1286050745.4599998</v>
      </c>
      <c r="H49" s="73">
        <f t="shared" si="13"/>
        <v>1421855758.9000003</v>
      </c>
      <c r="I49" s="73">
        <f>G49-H49</f>
        <v>-135805013.44000053</v>
      </c>
      <c r="J49" s="331">
        <f>IF(I49=0,"",I49/H49)</f>
        <v>-9.551251073812457E-2</v>
      </c>
      <c r="K49" s="145">
        <f t="shared" si="13"/>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4">G54-H54</f>
        <v>0</v>
      </c>
      <c r="J54" s="330" t="str">
        <f t="shared" ref="J54:J66" si="15">IF(I54=0,"",I54/H54)</f>
        <v/>
      </c>
      <c r="K54" s="736"/>
    </row>
    <row r="55" spans="1:11" ht="12.75" customHeight="1" x14ac:dyDescent="0.25">
      <c r="A55" s="39" t="s">
        <v>1061</v>
      </c>
      <c r="B55" s="169"/>
      <c r="C55" s="749"/>
      <c r="D55" s="746"/>
      <c r="E55" s="734"/>
      <c r="F55" s="734"/>
      <c r="G55" s="734"/>
      <c r="H55" s="734"/>
      <c r="I55" s="44">
        <f t="shared" si="14"/>
        <v>0</v>
      </c>
      <c r="J55" s="330" t="str">
        <f t="shared" si="15"/>
        <v/>
      </c>
      <c r="K55" s="736"/>
    </row>
    <row r="56" spans="1:11" ht="12.75" customHeight="1" x14ac:dyDescent="0.25">
      <c r="A56" s="39" t="s">
        <v>433</v>
      </c>
      <c r="B56" s="169"/>
      <c r="C56" s="749"/>
      <c r="D56" s="746"/>
      <c r="E56" s="734"/>
      <c r="F56" s="734"/>
      <c r="G56" s="734"/>
      <c r="H56" s="734"/>
      <c r="I56" s="44">
        <f t="shared" si="14"/>
        <v>0</v>
      </c>
      <c r="J56" s="330" t="str">
        <f t="shared" si="15"/>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4"/>
        <v>0</v>
      </c>
      <c r="J62" s="330" t="str">
        <f t="shared" si="15"/>
        <v/>
      </c>
      <c r="K62" s="736"/>
    </row>
    <row r="63" spans="1:11" ht="12.75" customHeight="1" x14ac:dyDescent="0.25">
      <c r="A63" s="39" t="s">
        <v>564</v>
      </c>
      <c r="B63" s="169"/>
      <c r="C63" s="749"/>
      <c r="D63" s="746">
        <v>453502.3</v>
      </c>
      <c r="E63" s="734">
        <v>453502.3</v>
      </c>
      <c r="F63" s="734"/>
      <c r="G63" s="734">
        <v>128651.78</v>
      </c>
      <c r="H63" s="734">
        <f>E63/12*12</f>
        <v>453502.29999999993</v>
      </c>
      <c r="I63" s="44">
        <f>G63-H63</f>
        <v>-324850.5199999999</v>
      </c>
      <c r="J63" s="330">
        <f>IF(I63=0,"",I63/H63)</f>
        <v>-0.71631504404718549</v>
      </c>
      <c r="K63" s="736">
        <f>E63</f>
        <v>453502.3</v>
      </c>
    </row>
    <row r="64" spans="1:11" ht="12.75" customHeight="1" x14ac:dyDescent="0.25">
      <c r="A64" s="39" t="s">
        <v>1066</v>
      </c>
      <c r="B64" s="169"/>
      <c r="C64" s="749"/>
      <c r="D64" s="746"/>
      <c r="E64" s="734"/>
      <c r="F64" s="734"/>
      <c r="G64" s="734"/>
      <c r="H64" s="734"/>
      <c r="I64" s="44">
        <f t="shared" si="14"/>
        <v>0</v>
      </c>
      <c r="J64" s="330" t="str">
        <f t="shared" si="15"/>
        <v/>
      </c>
      <c r="K64" s="736"/>
    </row>
    <row r="65" spans="1:11" ht="12.75" customHeight="1" x14ac:dyDescent="0.25">
      <c r="A65" s="39" t="s">
        <v>1067</v>
      </c>
      <c r="B65" s="169"/>
      <c r="C65" s="749"/>
      <c r="D65" s="746"/>
      <c r="E65" s="734"/>
      <c r="F65" s="734"/>
      <c r="G65" s="734"/>
      <c r="H65" s="734"/>
      <c r="I65" s="44">
        <f t="shared" si="14"/>
        <v>0</v>
      </c>
      <c r="J65" s="330" t="str">
        <f t="shared" si="15"/>
        <v/>
      </c>
      <c r="K65" s="736"/>
    </row>
    <row r="66" spans="1:11" ht="12.75" customHeight="1" x14ac:dyDescent="0.25">
      <c r="A66" s="39" t="s">
        <v>1068</v>
      </c>
      <c r="B66" s="169"/>
      <c r="C66" s="749"/>
      <c r="D66" s="746"/>
      <c r="E66" s="734"/>
      <c r="F66" s="734"/>
      <c r="G66" s="734"/>
      <c r="H66" s="734"/>
      <c r="I66" s="44">
        <f t="shared" si="14"/>
        <v>0</v>
      </c>
      <c r="J66" s="330" t="str">
        <f t="shared" si="15"/>
        <v/>
      </c>
      <c r="K66" s="736"/>
    </row>
    <row r="67" spans="1:11" ht="12.75" customHeight="1" x14ac:dyDescent="0.25">
      <c r="A67" s="87" t="s">
        <v>779</v>
      </c>
      <c r="B67" s="169">
        <v>2</v>
      </c>
      <c r="C67" s="516">
        <f t="shared" ref="C67:K67" si="16">SUM(C54:C66)</f>
        <v>0</v>
      </c>
      <c r="D67" s="475">
        <f t="shared" si="16"/>
        <v>453502.3</v>
      </c>
      <c r="E67" s="430">
        <f t="shared" si="16"/>
        <v>453502.3</v>
      </c>
      <c r="F67" s="430">
        <f>SUM(F54:F66)</f>
        <v>0</v>
      </c>
      <c r="G67" s="430">
        <f>SUM(G54:G66)</f>
        <v>128651.78</v>
      </c>
      <c r="H67" s="430">
        <f>SUM(H54:H66)</f>
        <v>453502.29999999993</v>
      </c>
      <c r="I67" s="430">
        <f t="shared" si="14"/>
        <v>-324850.5199999999</v>
      </c>
      <c r="J67" s="431">
        <f>IF(I67=0,"",I67/H67)</f>
        <v>-0.71631504404718549</v>
      </c>
      <c r="K67" s="513">
        <f t="shared" si="16"/>
        <v>453502.3</v>
      </c>
    </row>
    <row r="68" spans="1:11" ht="12.75" customHeight="1" x14ac:dyDescent="0.25">
      <c r="A68" s="566" t="s">
        <v>731</v>
      </c>
      <c r="B68" s="169">
        <v>4</v>
      </c>
      <c r="C68" s="173"/>
      <c r="D68" s="303" t="e">
        <f>IF(D67=0,"",(D67/C67)-1)</f>
        <v>#DIV/0!</v>
      </c>
      <c r="E68" s="303" t="e">
        <f>IF(E67=0,"",(E67/C67)-1)</f>
        <v>#DIV/0!</v>
      </c>
      <c r="F68" s="303"/>
      <c r="G68" s="303"/>
      <c r="H68" s="303"/>
      <c r="I68" s="303"/>
      <c r="J68" s="344"/>
      <c r="K68" s="312" t="e">
        <f>IF(K67=0,"",(K67/C67)-1)</f>
        <v>#DIV/0!</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v>7389647.3300000001</v>
      </c>
      <c r="E71" s="734">
        <v>7389647.3300000001</v>
      </c>
      <c r="F71" s="734">
        <v>52148.11</v>
      </c>
      <c r="G71" s="734">
        <v>619187.4</v>
      </c>
      <c r="H71" s="734">
        <f t="shared" ref="H71:H77" si="17">E71/12*12</f>
        <v>7389647.3300000001</v>
      </c>
      <c r="I71" s="44">
        <f t="shared" ref="I71:I83" si="18">G71-H71</f>
        <v>-6770459.9299999997</v>
      </c>
      <c r="J71" s="330">
        <f t="shared" ref="J71:J82" si="19">IF(I71=0,"",I71/H71)</f>
        <v>-0.91620880234889368</v>
      </c>
      <c r="K71" s="736">
        <f>E71</f>
        <v>7389647.3300000001</v>
      </c>
    </row>
    <row r="72" spans="1:11" ht="12.75" customHeight="1" x14ac:dyDescent="0.25">
      <c r="A72" s="518" t="s">
        <v>1061</v>
      </c>
      <c r="B72" s="169"/>
      <c r="C72" s="749"/>
      <c r="D72" s="746">
        <v>541704.24</v>
      </c>
      <c r="E72" s="734">
        <v>541704.24</v>
      </c>
      <c r="F72" s="734"/>
      <c r="G72" s="734"/>
      <c r="H72" s="734">
        <f t="shared" si="17"/>
        <v>541704.24</v>
      </c>
      <c r="I72" s="44">
        <f t="shared" si="18"/>
        <v>-541704.24</v>
      </c>
      <c r="J72" s="330">
        <f t="shared" si="19"/>
        <v>-1</v>
      </c>
      <c r="K72" s="736">
        <f t="shared" ref="K72:K77" si="20">E72</f>
        <v>541704.24</v>
      </c>
    </row>
    <row r="73" spans="1:11" ht="12.75" customHeight="1" x14ac:dyDescent="0.25">
      <c r="A73" s="518" t="s">
        <v>433</v>
      </c>
      <c r="B73" s="169"/>
      <c r="C73" s="749"/>
      <c r="D73" s="746">
        <v>827571.76</v>
      </c>
      <c r="E73" s="734">
        <v>827571.76</v>
      </c>
      <c r="F73" s="734">
        <v>2254</v>
      </c>
      <c r="G73" s="734">
        <v>25937.48</v>
      </c>
      <c r="H73" s="734">
        <f t="shared" si="17"/>
        <v>827571.76</v>
      </c>
      <c r="I73" s="44">
        <f t="shared" si="18"/>
        <v>-801634.28</v>
      </c>
      <c r="J73" s="330">
        <f t="shared" si="19"/>
        <v>-0.96865833121226852</v>
      </c>
      <c r="K73" s="736">
        <f t="shared" si="20"/>
        <v>827571.76</v>
      </c>
    </row>
    <row r="74" spans="1:11" ht="12.75" customHeight="1" x14ac:dyDescent="0.25">
      <c r="A74" s="518" t="s">
        <v>546</v>
      </c>
      <c r="B74" s="169"/>
      <c r="C74" s="749"/>
      <c r="D74" s="746">
        <v>1100000</v>
      </c>
      <c r="E74" s="734">
        <v>1100000</v>
      </c>
      <c r="F74" s="734"/>
      <c r="G74" s="734"/>
      <c r="H74" s="734">
        <f t="shared" si="17"/>
        <v>1100000</v>
      </c>
      <c r="I74" s="44">
        <f t="shared" si="18"/>
        <v>-1100000</v>
      </c>
      <c r="J74" s="330">
        <f t="shared" si="19"/>
        <v>-1</v>
      </c>
      <c r="K74" s="736">
        <f t="shared" si="20"/>
        <v>1100000</v>
      </c>
    </row>
    <row r="75" spans="1:11" ht="12.75" customHeight="1" x14ac:dyDescent="0.25">
      <c r="A75" s="518" t="s">
        <v>435</v>
      </c>
      <c r="B75" s="169"/>
      <c r="C75" s="749"/>
      <c r="D75" s="746">
        <v>60116.679999999993</v>
      </c>
      <c r="E75" s="734">
        <v>60116.679999999993</v>
      </c>
      <c r="F75" s="734"/>
      <c r="G75" s="734">
        <v>6843.42</v>
      </c>
      <c r="H75" s="734">
        <f t="shared" si="17"/>
        <v>60116.679999999993</v>
      </c>
      <c r="I75" s="44">
        <f>G75-H75</f>
        <v>-53273.259999999995</v>
      </c>
      <c r="J75" s="330">
        <f>IF(I75=0,"",I75/H75)</f>
        <v>-0.886164372350569</v>
      </c>
      <c r="K75" s="736">
        <f t="shared" si="20"/>
        <v>60116.679999999993</v>
      </c>
    </row>
    <row r="76" spans="1:11" ht="12.75" customHeight="1" x14ac:dyDescent="0.25">
      <c r="A76" s="518" t="s">
        <v>1062</v>
      </c>
      <c r="B76" s="169"/>
      <c r="C76" s="749"/>
      <c r="D76" s="746">
        <v>107133.9</v>
      </c>
      <c r="E76" s="734">
        <v>107133.9</v>
      </c>
      <c r="F76" s="734">
        <v>2500</v>
      </c>
      <c r="G76" s="734">
        <v>30000</v>
      </c>
      <c r="H76" s="734">
        <f t="shared" si="17"/>
        <v>107133.9</v>
      </c>
      <c r="I76" s="44">
        <f>G76-H76</f>
        <v>-77133.899999999994</v>
      </c>
      <c r="J76" s="330">
        <f>IF(I76=0,"",I76/H76)</f>
        <v>-0.71997659004292758</v>
      </c>
      <c r="K76" s="736">
        <f t="shared" si="20"/>
        <v>107133.9</v>
      </c>
    </row>
    <row r="77" spans="1:11" ht="12.75" customHeight="1" x14ac:dyDescent="0.25">
      <c r="A77" s="518" t="s">
        <v>1063</v>
      </c>
      <c r="B77" s="169"/>
      <c r="C77" s="749"/>
      <c r="D77" s="746">
        <v>21916.54</v>
      </c>
      <c r="E77" s="734">
        <v>21916.54</v>
      </c>
      <c r="F77" s="734">
        <v>600</v>
      </c>
      <c r="G77" s="734">
        <v>7200</v>
      </c>
      <c r="H77" s="734">
        <f t="shared" si="17"/>
        <v>21916.54</v>
      </c>
      <c r="I77" s="44">
        <f>G77-H77</f>
        <v>-14716.54</v>
      </c>
      <c r="J77" s="330">
        <f>IF(I77=0,"",I77/H77)</f>
        <v>-0.67148099106884573</v>
      </c>
      <c r="K77" s="736">
        <f t="shared" si="20"/>
        <v>21916.54</v>
      </c>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18"/>
        <v>0</v>
      </c>
      <c r="J79" s="330" t="str">
        <f t="shared" si="19"/>
        <v/>
      </c>
      <c r="K79" s="736"/>
    </row>
    <row r="80" spans="1:11" ht="12.75" customHeight="1" x14ac:dyDescent="0.25">
      <c r="A80" s="518" t="s">
        <v>1066</v>
      </c>
      <c r="B80" s="169"/>
      <c r="C80" s="749"/>
      <c r="D80" s="746"/>
      <c r="E80" s="734"/>
      <c r="F80" s="734"/>
      <c r="G80" s="734"/>
      <c r="H80" s="734"/>
      <c r="I80" s="44">
        <f t="shared" si="18"/>
        <v>0</v>
      </c>
      <c r="J80" s="330" t="str">
        <f t="shared" si="19"/>
        <v/>
      </c>
      <c r="K80" s="736"/>
    </row>
    <row r="81" spans="1:11" ht="12.75" customHeight="1" x14ac:dyDescent="0.25">
      <c r="A81" s="518" t="s">
        <v>1067</v>
      </c>
      <c r="B81" s="169"/>
      <c r="C81" s="749"/>
      <c r="D81" s="746"/>
      <c r="E81" s="734"/>
      <c r="F81" s="734"/>
      <c r="G81" s="734"/>
      <c r="H81" s="734"/>
      <c r="I81" s="44">
        <f t="shared" si="18"/>
        <v>0</v>
      </c>
      <c r="J81" s="330" t="str">
        <f t="shared" si="19"/>
        <v/>
      </c>
      <c r="K81" s="736"/>
    </row>
    <row r="82" spans="1:11" ht="12.75" customHeight="1" x14ac:dyDescent="0.25">
      <c r="A82" s="518" t="s">
        <v>1068</v>
      </c>
      <c r="B82" s="169">
        <v>2</v>
      </c>
      <c r="C82" s="749"/>
      <c r="D82" s="746"/>
      <c r="E82" s="734"/>
      <c r="F82" s="734"/>
      <c r="G82" s="734"/>
      <c r="H82" s="734"/>
      <c r="I82" s="44">
        <f t="shared" si="18"/>
        <v>0</v>
      </c>
      <c r="J82" s="330" t="str">
        <f t="shared" si="19"/>
        <v/>
      </c>
      <c r="K82" s="736"/>
    </row>
    <row r="83" spans="1:11" ht="12.75" customHeight="1" x14ac:dyDescent="0.25">
      <c r="A83" s="87" t="s">
        <v>840</v>
      </c>
      <c r="B83" s="169"/>
      <c r="C83" s="516">
        <f t="shared" ref="C83:K83" si="21">SUM(C71:C82)</f>
        <v>0</v>
      </c>
      <c r="D83" s="475">
        <f t="shared" si="21"/>
        <v>10048090.449999999</v>
      </c>
      <c r="E83" s="430">
        <f t="shared" si="21"/>
        <v>10048090.449999999</v>
      </c>
      <c r="F83" s="430">
        <f>SUM(F71:F82)</f>
        <v>57502.11</v>
      </c>
      <c r="G83" s="430">
        <f>SUM(G71:G82)</f>
        <v>689168.3</v>
      </c>
      <c r="H83" s="430">
        <f>SUM(H71:H82)</f>
        <v>10048090.449999999</v>
      </c>
      <c r="I83" s="430">
        <f t="shared" si="18"/>
        <v>-9358922.1499999985</v>
      </c>
      <c r="J83" s="431">
        <f>IF(I83=0,"",I83/H83)</f>
        <v>-0.93141300793127302</v>
      </c>
      <c r="K83" s="513">
        <f t="shared" si="21"/>
        <v>10048090.449999999</v>
      </c>
    </row>
    <row r="84" spans="1:11" ht="12.75" customHeight="1" x14ac:dyDescent="0.25">
      <c r="A84" s="566" t="s">
        <v>731</v>
      </c>
      <c r="B84" s="169">
        <v>4</v>
      </c>
      <c r="C84" s="173"/>
      <c r="D84" s="303" t="e">
        <f>IF(D83=0,"",(D83/C83)-1)</f>
        <v>#DIV/0!</v>
      </c>
      <c r="E84" s="303" t="e">
        <f>IF(E83=0,"",(E83/C83)-1)</f>
        <v>#DIV/0!</v>
      </c>
      <c r="F84" s="303"/>
      <c r="G84" s="303"/>
      <c r="H84" s="303"/>
      <c r="I84" s="303"/>
      <c r="J84" s="344"/>
      <c r="K84" s="312" t="e">
        <f>IF(K83=0,"",(K83/C83)-1)</f>
        <v>#DIV/0!</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v>464085.03</v>
      </c>
      <c r="G87" s="734">
        <v>5561669.8700000001</v>
      </c>
      <c r="H87" s="734"/>
      <c r="I87" s="44">
        <f t="shared" ref="I87:I99" si="22">G87-H87</f>
        <v>5561669.8700000001</v>
      </c>
      <c r="J87" s="330" t="e">
        <f t="shared" ref="J87:J98" si="23">IF(I87=0,"",I87/H87)</f>
        <v>#DIV/0!</v>
      </c>
      <c r="K87" s="736"/>
    </row>
    <row r="88" spans="1:11" ht="12.75" customHeight="1" x14ac:dyDescent="0.25">
      <c r="A88" s="518" t="s">
        <v>1061</v>
      </c>
      <c r="B88" s="169"/>
      <c r="C88" s="749"/>
      <c r="D88" s="746"/>
      <c r="E88" s="734"/>
      <c r="F88" s="734">
        <v>34244.870000000003</v>
      </c>
      <c r="G88" s="734">
        <v>381134.2</v>
      </c>
      <c r="H88" s="734"/>
      <c r="I88" s="44">
        <f t="shared" si="22"/>
        <v>381134.2</v>
      </c>
      <c r="J88" s="330" t="e">
        <f t="shared" si="23"/>
        <v>#DIV/0!</v>
      </c>
      <c r="K88" s="736"/>
    </row>
    <row r="89" spans="1:11" ht="12.75" customHeight="1" x14ac:dyDescent="0.25">
      <c r="A89" s="518" t="s">
        <v>433</v>
      </c>
      <c r="B89" s="169"/>
      <c r="C89" s="749"/>
      <c r="D89" s="746"/>
      <c r="E89" s="734"/>
      <c r="F89" s="734">
        <v>63309.4</v>
      </c>
      <c r="G89" s="734">
        <v>722926.04</v>
      </c>
      <c r="H89" s="734"/>
      <c r="I89" s="44">
        <f>G89-H89</f>
        <v>722926.04</v>
      </c>
      <c r="J89" s="330" t="e">
        <f>IF(I89=0,"",I89/H89)</f>
        <v>#DIV/0!</v>
      </c>
      <c r="K89" s="736"/>
    </row>
    <row r="90" spans="1:11" ht="12.75" customHeight="1" x14ac:dyDescent="0.25">
      <c r="A90" s="518" t="s">
        <v>546</v>
      </c>
      <c r="B90" s="169"/>
      <c r="C90" s="749"/>
      <c r="D90" s="746"/>
      <c r="E90" s="734"/>
      <c r="F90" s="734">
        <v>90444</v>
      </c>
      <c r="G90" s="734">
        <v>927240</v>
      </c>
      <c r="H90" s="734"/>
      <c r="I90" s="44">
        <f>G90-H90</f>
        <v>927240</v>
      </c>
      <c r="J90" s="330" t="e">
        <f>IF(I90=0,"",I90/H90)</f>
        <v>#DIV/0!</v>
      </c>
      <c r="K90" s="736"/>
    </row>
    <row r="91" spans="1:11" ht="12.75" customHeight="1" x14ac:dyDescent="0.25">
      <c r="A91" s="518" t="s">
        <v>435</v>
      </c>
      <c r="B91" s="169"/>
      <c r="C91" s="749"/>
      <c r="D91" s="746"/>
      <c r="E91" s="734"/>
      <c r="F91" s="734"/>
      <c r="G91" s="734">
        <v>39656.400000000001</v>
      </c>
      <c r="H91" s="734"/>
      <c r="I91" s="44">
        <f>G91-H91</f>
        <v>39656.400000000001</v>
      </c>
      <c r="J91" s="330" t="e">
        <f>IF(I91=0,"",I91/H91)</f>
        <v>#DIV/0!</v>
      </c>
      <c r="K91" s="736"/>
    </row>
    <row r="92" spans="1:11" ht="12.75" customHeight="1" x14ac:dyDescent="0.25">
      <c r="A92" s="518" t="s">
        <v>1062</v>
      </c>
      <c r="B92" s="169"/>
      <c r="C92" s="749"/>
      <c r="D92" s="746"/>
      <c r="E92" s="734"/>
      <c r="F92" s="734">
        <v>8500</v>
      </c>
      <c r="G92" s="734">
        <v>102000</v>
      </c>
      <c r="H92" s="734"/>
      <c r="I92" s="44">
        <f>G92-H92</f>
        <v>102000</v>
      </c>
      <c r="J92" s="330" t="e">
        <f>IF(I92=0,"",I92/H92)</f>
        <v>#DIV/0!</v>
      </c>
      <c r="K92" s="736"/>
    </row>
    <row r="93" spans="1:11" ht="12.75" customHeight="1" x14ac:dyDescent="0.25">
      <c r="A93" s="518" t="s">
        <v>1063</v>
      </c>
      <c r="B93" s="169"/>
      <c r="C93" s="749"/>
      <c r="D93" s="746"/>
      <c r="E93" s="734"/>
      <c r="F93" s="734">
        <v>4650</v>
      </c>
      <c r="G93" s="734">
        <v>55800</v>
      </c>
      <c r="H93" s="734"/>
      <c r="I93" s="44">
        <f t="shared" si="22"/>
        <v>55800</v>
      </c>
      <c r="J93" s="330" t="e">
        <f t="shared" si="23"/>
        <v>#DIV/0!</v>
      </c>
      <c r="K93" s="736"/>
    </row>
    <row r="94" spans="1:11" ht="12.75" customHeight="1" x14ac:dyDescent="0.25">
      <c r="A94" s="518" t="s">
        <v>1064</v>
      </c>
      <c r="B94" s="169"/>
      <c r="C94" s="749"/>
      <c r="D94" s="746"/>
      <c r="E94" s="734"/>
      <c r="F94" s="734"/>
      <c r="G94" s="734"/>
      <c r="H94" s="734"/>
      <c r="I94" s="44">
        <f t="shared" si="22"/>
        <v>0</v>
      </c>
      <c r="J94" s="330" t="str">
        <f t="shared" si="23"/>
        <v/>
      </c>
      <c r="K94" s="736"/>
    </row>
    <row r="95" spans="1:11" ht="12.75" customHeight="1" x14ac:dyDescent="0.25">
      <c r="A95" s="518" t="s">
        <v>1065</v>
      </c>
      <c r="B95" s="169"/>
      <c r="C95" s="749"/>
      <c r="D95" s="746"/>
      <c r="E95" s="734"/>
      <c r="F95" s="734"/>
      <c r="G95" s="734">
        <v>24725.56</v>
      </c>
      <c r="H95" s="734"/>
      <c r="I95" s="44">
        <f t="shared" si="22"/>
        <v>24725.56</v>
      </c>
      <c r="J95" s="330" t="e">
        <f t="shared" si="23"/>
        <v>#DIV/0!</v>
      </c>
      <c r="K95" s="736"/>
    </row>
    <row r="96" spans="1:11" ht="12.75" customHeight="1" x14ac:dyDescent="0.25">
      <c r="A96" s="518" t="s">
        <v>1066</v>
      </c>
      <c r="B96" s="169"/>
      <c r="C96" s="749"/>
      <c r="D96" s="746"/>
      <c r="E96" s="734"/>
      <c r="F96" s="734"/>
      <c r="G96" s="734"/>
      <c r="H96" s="734"/>
      <c r="I96" s="44">
        <f t="shared" si="22"/>
        <v>0</v>
      </c>
      <c r="J96" s="330" t="str">
        <f t="shared" si="23"/>
        <v/>
      </c>
      <c r="K96" s="736"/>
    </row>
    <row r="97" spans="1:14" ht="12.75" customHeight="1" x14ac:dyDescent="0.25">
      <c r="A97" s="518" t="s">
        <v>1067</v>
      </c>
      <c r="B97" s="169"/>
      <c r="C97" s="749"/>
      <c r="D97" s="746"/>
      <c r="E97" s="734"/>
      <c r="F97" s="734"/>
      <c r="G97" s="734"/>
      <c r="H97" s="734"/>
      <c r="I97" s="44">
        <f t="shared" si="22"/>
        <v>0</v>
      </c>
      <c r="J97" s="330" t="str">
        <f t="shared" si="23"/>
        <v/>
      </c>
      <c r="K97" s="736"/>
    </row>
    <row r="98" spans="1:14" ht="12.75" customHeight="1" x14ac:dyDescent="0.25">
      <c r="A98" s="518" t="s">
        <v>1068</v>
      </c>
      <c r="B98" s="169"/>
      <c r="C98" s="749"/>
      <c r="D98" s="746"/>
      <c r="E98" s="734"/>
      <c r="F98" s="734"/>
      <c r="G98" s="734"/>
      <c r="H98" s="734"/>
      <c r="I98" s="44">
        <f t="shared" si="22"/>
        <v>0</v>
      </c>
      <c r="J98" s="330" t="str">
        <f t="shared" si="23"/>
        <v/>
      </c>
      <c r="K98" s="736"/>
    </row>
    <row r="99" spans="1:14" ht="12.75" customHeight="1" x14ac:dyDescent="0.25">
      <c r="A99" s="87" t="s">
        <v>517</v>
      </c>
      <c r="B99" s="169"/>
      <c r="C99" s="516">
        <f t="shared" ref="C99:H99" si="24">SUM(C87:C98)</f>
        <v>0</v>
      </c>
      <c r="D99" s="475">
        <f t="shared" si="24"/>
        <v>0</v>
      </c>
      <c r="E99" s="430">
        <f t="shared" si="24"/>
        <v>0</v>
      </c>
      <c r="F99" s="430">
        <f t="shared" si="24"/>
        <v>665233.30000000005</v>
      </c>
      <c r="G99" s="430">
        <f t="shared" si="24"/>
        <v>7815152.0700000003</v>
      </c>
      <c r="H99" s="430">
        <f t="shared" si="24"/>
        <v>0</v>
      </c>
      <c r="I99" s="430">
        <f t="shared" si="22"/>
        <v>7815152.0700000003</v>
      </c>
      <c r="J99" s="431" t="e">
        <f>IF(I99=0,"",I99/H99)</f>
        <v>#DIV/0!</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5">C67+C83+C99</f>
        <v>0</v>
      </c>
      <c r="D102" s="475">
        <f t="shared" si="25"/>
        <v>10501592.75</v>
      </c>
      <c r="E102" s="430">
        <f t="shared" si="25"/>
        <v>10501592.75</v>
      </c>
      <c r="F102" s="430">
        <f t="shared" si="25"/>
        <v>722735.41</v>
      </c>
      <c r="G102" s="430">
        <f t="shared" si="25"/>
        <v>8632972.1500000004</v>
      </c>
      <c r="H102" s="430">
        <f t="shared" si="25"/>
        <v>10501592.75</v>
      </c>
      <c r="I102" s="430">
        <f>G102-H102</f>
        <v>-1868620.5999999996</v>
      </c>
      <c r="J102" s="431">
        <f>IF(I102=0,"",I102/H102)</f>
        <v>-0.17793687533731486</v>
      </c>
      <c r="K102" s="513">
        <f>K67+K83+K99</f>
        <v>10501592.75</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6">C49+C102</f>
        <v>0</v>
      </c>
      <c r="D104" s="56">
        <f t="shared" si="26"/>
        <v>1432357351.6500003</v>
      </c>
      <c r="E104" s="55">
        <f t="shared" si="26"/>
        <v>1432357351.6500003</v>
      </c>
      <c r="F104" s="55">
        <f t="shared" si="26"/>
        <v>82492336.869999975</v>
      </c>
      <c r="G104" s="55">
        <f t="shared" si="26"/>
        <v>1294683717.6099999</v>
      </c>
      <c r="H104" s="55">
        <f t="shared" si="26"/>
        <v>1432357351.6500003</v>
      </c>
      <c r="I104" s="55">
        <f>G104-H104</f>
        <v>-137673634.04000044</v>
      </c>
      <c r="J104" s="332">
        <f>IF(I104=0,"",I104/H104)</f>
        <v>-9.6116820206499198E-2</v>
      </c>
      <c r="K104" s="235">
        <f>K49+K102</f>
        <v>1432357351.6500003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7">C30+C46+C83+C99</f>
        <v>0</v>
      </c>
      <c r="D106" s="56">
        <f t="shared" si="27"/>
        <v>1380415940.4100003</v>
      </c>
      <c r="E106" s="55">
        <f t="shared" si="27"/>
        <v>1380415940.4100003</v>
      </c>
      <c r="F106" s="55">
        <f t="shared" si="27"/>
        <v>78800952.099999979</v>
      </c>
      <c r="G106" s="55">
        <f t="shared" si="27"/>
        <v>1250795741.9999998</v>
      </c>
      <c r="H106" s="55">
        <f t="shared" si="27"/>
        <v>1380415940.4100003</v>
      </c>
      <c r="I106" s="55">
        <f t="shared" si="27"/>
        <v>-129620198.41000044</v>
      </c>
      <c r="J106" s="889">
        <f>IF(I106=0,"",I106/H106)</f>
        <v>-9.3899378162426661E-2</v>
      </c>
      <c r="K106" s="235">
        <f>K30+K46+K83+K99</f>
        <v>1380415940.4100003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H25" sqref="H25"/>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Q4 Fourth Quarter</v>
      </c>
      <c r="B1" s="68"/>
    </row>
    <row r="2" spans="1:17" ht="25.5" customHeight="1" x14ac:dyDescent="0.25">
      <c r="A2" s="1026" t="str">
        <f>desc</f>
        <v>Description</v>
      </c>
      <c r="B2" s="1019" t="str">
        <f>head27</f>
        <v>Ref</v>
      </c>
      <c r="C2" s="1021" t="str">
        <f>Head2</f>
        <v>Budget Year 2019/20</v>
      </c>
      <c r="D2" s="1022"/>
      <c r="E2" s="1022"/>
      <c r="F2" s="1022"/>
      <c r="G2" s="1022"/>
      <c r="H2" s="1022"/>
      <c r="I2" s="1022"/>
      <c r="J2" s="1022"/>
      <c r="K2" s="1022"/>
      <c r="L2" s="1022"/>
      <c r="M2" s="1022"/>
      <c r="N2" s="1073"/>
      <c r="O2" s="1021" t="str">
        <f>'Template names'!B5</f>
        <v>2019/20 Medium Term Revenue &amp; Expenditure Framework</v>
      </c>
      <c r="P2" s="1022"/>
      <c r="Q2" s="1023"/>
    </row>
    <row r="3" spans="1:17" ht="12.75" customHeight="1" x14ac:dyDescent="0.25">
      <c r="A3" s="1027"/>
      <c r="B3" s="1030"/>
      <c r="C3" s="143" t="s">
        <v>791</v>
      </c>
      <c r="D3" s="27" t="s">
        <v>918</v>
      </c>
      <c r="E3" s="27" t="s">
        <v>3</v>
      </c>
      <c r="F3" s="27" t="s">
        <v>919</v>
      </c>
      <c r="G3" s="27" t="s">
        <v>4</v>
      </c>
      <c r="H3" s="27" t="s">
        <v>5</v>
      </c>
      <c r="I3" s="27" t="s">
        <v>922</v>
      </c>
      <c r="J3" s="27" t="s">
        <v>6</v>
      </c>
      <c r="K3" s="27" t="s">
        <v>924</v>
      </c>
      <c r="L3" s="27" t="s">
        <v>925</v>
      </c>
      <c r="M3" s="27" t="s">
        <v>926</v>
      </c>
      <c r="N3" s="163" t="s">
        <v>927</v>
      </c>
      <c r="O3" s="1071" t="str">
        <f>Head9</f>
        <v>Budget Year 2019/20</v>
      </c>
      <c r="P3" s="1067" t="str">
        <f>Head10</f>
        <v>Budget Year +1 2020/21</v>
      </c>
      <c r="Q3" s="1069"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2"/>
      <c r="P4" s="1068"/>
      <c r="Q4" s="1070"/>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tabSelected="1" zoomScaleNormal="100" workbookViewId="0">
      <pane xSplit="2" ySplit="4" topLeftCell="C26" activePane="bottomRight" state="frozen"/>
      <selection pane="topRight"/>
      <selection pane="bottomLeft"/>
      <selection pane="bottomRight" activeCell="N34" sqref="N34"/>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"&amp;S71P&amp; " - "&amp;Head57</f>
        <v>KZN225 Msunduzi - Supporting Table SC10 Monthly Budget Statement  - Parent Municipality Financial Performance (revenue and expenditure)  - Q4 Fourth Quarter</v>
      </c>
      <c r="B1" s="1037"/>
      <c r="C1" s="1037"/>
      <c r="D1" s="1037"/>
      <c r="E1" s="1037"/>
      <c r="F1" s="1037"/>
      <c r="G1" s="1037"/>
      <c r="H1" s="1037"/>
      <c r="I1" s="1037"/>
      <c r="J1" s="1037"/>
      <c r="K1" s="1037"/>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900836920</v>
      </c>
      <c r="D6" s="746">
        <v>1200771538.4599996</v>
      </c>
      <c r="E6" s="734">
        <v>1200771538.4599996</v>
      </c>
      <c r="F6" s="734">
        <v>87704042.309999987</v>
      </c>
      <c r="G6" s="734">
        <v>1179011657.9400003</v>
      </c>
      <c r="H6" s="734">
        <f>E6/12*12</f>
        <v>1200771538.4599996</v>
      </c>
      <c r="I6" s="44">
        <f t="shared" ref="I6:I21" si="0">G6-H6</f>
        <v>-21759880.519999266</v>
      </c>
      <c r="J6" s="330">
        <f>IF(I6=0,"",I6/H6)</f>
        <v>-1.812158251844186E-2</v>
      </c>
      <c r="K6" s="736">
        <f>E6</f>
        <v>1200771538.4599996</v>
      </c>
    </row>
    <row r="7" spans="1:11" ht="12.75" customHeight="1" x14ac:dyDescent="0.25">
      <c r="A7" s="39" t="str">
        <f>'C4-FinPerf RE'!A7</f>
        <v>Service charges - electricity revenue</v>
      </c>
      <c r="B7" s="169"/>
      <c r="C7" s="749">
        <v>2183865035</v>
      </c>
      <c r="D7" s="746">
        <v>2417937958.4970875</v>
      </c>
      <c r="E7" s="734">
        <v>2417937958.4970875</v>
      </c>
      <c r="F7" s="734">
        <v>186110458.50999999</v>
      </c>
      <c r="G7" s="734">
        <v>2166461952.0500002</v>
      </c>
      <c r="H7" s="734">
        <f>E7/12*12</f>
        <v>2417937958.4970875</v>
      </c>
      <c r="I7" s="44">
        <f t="shared" si="0"/>
        <v>-251476006.44708729</v>
      </c>
      <c r="J7" s="330">
        <f t="shared" ref="J7:J22" si="1">IF(I7=0,"",I7/H7)</f>
        <v>-0.10400432548873036</v>
      </c>
      <c r="K7" s="736">
        <f>E7</f>
        <v>2417937958.4970875</v>
      </c>
    </row>
    <row r="8" spans="1:11" ht="12.75" customHeight="1" x14ac:dyDescent="0.25">
      <c r="A8" s="86" t="str">
        <f>'C4-FinPerf RE'!A8</f>
        <v>Service charges - water revenue</v>
      </c>
      <c r="B8" s="171"/>
      <c r="C8" s="749">
        <v>603660664</v>
      </c>
      <c r="D8" s="746">
        <v>662966142.04000008</v>
      </c>
      <c r="E8" s="734">
        <v>662966141.82400012</v>
      </c>
      <c r="F8" s="734">
        <v>47412249.609999999</v>
      </c>
      <c r="G8" s="734">
        <v>673935125.70999992</v>
      </c>
      <c r="H8" s="734">
        <f>E8/12*12</f>
        <v>662966141.82400012</v>
      </c>
      <c r="I8" s="44">
        <f t="shared" si="0"/>
        <v>10968983.885999799</v>
      </c>
      <c r="J8" s="330">
        <f t="shared" si="1"/>
        <v>1.6545315354749703E-2</v>
      </c>
      <c r="K8" s="736">
        <f>E8</f>
        <v>662966141.82400012</v>
      </c>
    </row>
    <row r="9" spans="1:11" ht="12.75" customHeight="1" x14ac:dyDescent="0.25">
      <c r="A9" s="86" t="str">
        <f>'C4-FinPerf RE'!A9</f>
        <v>Service charges - sanitation revenue</v>
      </c>
      <c r="B9" s="171"/>
      <c r="C9" s="749">
        <v>137071995</v>
      </c>
      <c r="D9" s="746">
        <v>145475358.24000001</v>
      </c>
      <c r="E9" s="734">
        <v>145296314.69999999</v>
      </c>
      <c r="F9" s="734">
        <v>-133246692.17</v>
      </c>
      <c r="G9" s="734">
        <v>171703663.99000001</v>
      </c>
      <c r="H9" s="734">
        <f>E9/12*12</f>
        <v>145296314.69999999</v>
      </c>
      <c r="I9" s="44">
        <f t="shared" si="0"/>
        <v>26407349.290000021</v>
      </c>
      <c r="J9" s="330">
        <f t="shared" si="1"/>
        <v>0.18174823872528698</v>
      </c>
      <c r="K9" s="736">
        <f>E9</f>
        <v>145296314.69999999</v>
      </c>
    </row>
    <row r="10" spans="1:11" ht="12.75" customHeight="1" x14ac:dyDescent="0.25">
      <c r="A10" s="86" t="str">
        <f>'C4-FinPerf RE'!A10</f>
        <v>Service charges - refuse revenue</v>
      </c>
      <c r="B10" s="171"/>
      <c r="C10" s="749">
        <v>106276001</v>
      </c>
      <c r="D10" s="746">
        <v>111323522.45999999</v>
      </c>
      <c r="E10" s="734">
        <v>111323522.45999999</v>
      </c>
      <c r="F10" s="734">
        <v>8456716.5999999996</v>
      </c>
      <c r="G10" s="734">
        <v>109466040.63</v>
      </c>
      <c r="H10" s="734">
        <f>E10/12*12</f>
        <v>111323522.46000001</v>
      </c>
      <c r="I10" s="44">
        <f t="shared" si="0"/>
        <v>-1857481.8300000131</v>
      </c>
      <c r="J10" s="330">
        <f t="shared" si="1"/>
        <v>-1.6685438880784879E-2</v>
      </c>
      <c r="K10" s="736">
        <f>E10</f>
        <v>111323522.45999999</v>
      </c>
    </row>
    <row r="11" spans="1:11" ht="0.95" customHeight="1" x14ac:dyDescent="0.25">
      <c r="A11" s="86"/>
      <c r="B11" s="171"/>
      <c r="C11" s="649"/>
      <c r="D11" s="650"/>
      <c r="E11" s="408"/>
      <c r="F11" s="408"/>
      <c r="G11" s="408"/>
      <c r="H11" s="408"/>
      <c r="I11" s="408"/>
      <c r="J11" s="948"/>
      <c r="K11" s="643"/>
    </row>
    <row r="12" spans="1:11" ht="12.75" customHeight="1" x14ac:dyDescent="0.25">
      <c r="A12" s="86" t="str">
        <f>'C4-FinPerf RE'!A12</f>
        <v>Rental of facilities and equipment</v>
      </c>
      <c r="B12" s="171"/>
      <c r="C12" s="749">
        <v>35220143</v>
      </c>
      <c r="D12" s="746">
        <v>27826600.600000001</v>
      </c>
      <c r="E12" s="734">
        <v>27826600.600000001</v>
      </c>
      <c r="F12" s="734">
        <v>7744255.9700000025</v>
      </c>
      <c r="G12" s="734">
        <v>43810507.56000001</v>
      </c>
      <c r="H12" s="734">
        <f>E12/12*12</f>
        <v>27826600.600000001</v>
      </c>
      <c r="I12" s="44">
        <f t="shared" si="0"/>
        <v>15983906.960000008</v>
      </c>
      <c r="J12" s="330">
        <f t="shared" si="1"/>
        <v>0.57441105328546693</v>
      </c>
      <c r="K12" s="736">
        <f t="shared" ref="K12:K20" si="2">E12</f>
        <v>27826600.600000001</v>
      </c>
    </row>
    <row r="13" spans="1:11" ht="12.75" customHeight="1" x14ac:dyDescent="0.25">
      <c r="A13" s="86" t="str">
        <f>'C4-FinPerf RE'!A13</f>
        <v>Interest earned - external investments</v>
      </c>
      <c r="B13" s="171"/>
      <c r="C13" s="749">
        <v>39866400</v>
      </c>
      <c r="D13" s="746">
        <v>14702275.050000001</v>
      </c>
      <c r="E13" s="734">
        <v>14702275.050000001</v>
      </c>
      <c r="F13" s="734">
        <v>1769145.74</v>
      </c>
      <c r="G13" s="734">
        <v>14116343.540000001</v>
      </c>
      <c r="H13" s="734">
        <f>E13/12*12</f>
        <v>14702275.050000001</v>
      </c>
      <c r="I13" s="44">
        <f t="shared" si="0"/>
        <v>-585931.50999999978</v>
      </c>
      <c r="J13" s="330">
        <f t="shared" si="1"/>
        <v>-3.985311851447098E-2</v>
      </c>
      <c r="K13" s="736">
        <f t="shared" si="2"/>
        <v>14702275.050000001</v>
      </c>
    </row>
    <row r="14" spans="1:11" ht="12.75" customHeight="1" x14ac:dyDescent="0.25">
      <c r="A14" s="86" t="str">
        <f>'C4-FinPerf RE'!A14</f>
        <v>Interest earned - outstanding debtors</v>
      </c>
      <c r="B14" s="171"/>
      <c r="C14" s="749">
        <v>117861252</v>
      </c>
      <c r="D14" s="746">
        <v>193739515.68000001</v>
      </c>
      <c r="E14" s="734">
        <v>193739515.68000001</v>
      </c>
      <c r="F14" s="734">
        <v>31041337.869999997</v>
      </c>
      <c r="G14" s="734">
        <v>304091132.32999998</v>
      </c>
      <c r="H14" s="734">
        <f>E14/12*12</f>
        <v>193739515.68000001</v>
      </c>
      <c r="I14" s="44">
        <f t="shared" si="0"/>
        <v>110351616.64999998</v>
      </c>
      <c r="J14" s="330">
        <f t="shared" si="1"/>
        <v>0.56958755297121721</v>
      </c>
      <c r="K14" s="736">
        <f t="shared" si="2"/>
        <v>193739515.68000001</v>
      </c>
    </row>
    <row r="15" spans="1:11" ht="12.75" customHeight="1" x14ac:dyDescent="0.25">
      <c r="A15" s="86" t="str">
        <f>'C4-FinPerf RE'!A15</f>
        <v>Dividends received</v>
      </c>
      <c r="B15" s="171"/>
      <c r="C15" s="749"/>
      <c r="D15" s="746"/>
      <c r="E15" s="734">
        <v>0</v>
      </c>
      <c r="F15" s="734"/>
      <c r="G15" s="734"/>
      <c r="H15" s="734"/>
      <c r="I15" s="44">
        <f t="shared" si="0"/>
        <v>0</v>
      </c>
      <c r="J15" s="330" t="str">
        <f t="shared" si="1"/>
        <v/>
      </c>
      <c r="K15" s="736"/>
    </row>
    <row r="16" spans="1:11" ht="12.75" customHeight="1" x14ac:dyDescent="0.25">
      <c r="A16" s="86" t="str">
        <f>'C4-FinPerf RE'!A16</f>
        <v>Fines, penalties and forfeits</v>
      </c>
      <c r="B16" s="171"/>
      <c r="C16" s="749">
        <v>75203073</v>
      </c>
      <c r="D16" s="746">
        <v>16064007.439999999</v>
      </c>
      <c r="E16" s="734">
        <v>16064007.439999999</v>
      </c>
      <c r="F16" s="734">
        <v>4135451.81</v>
      </c>
      <c r="G16" s="734">
        <v>13272582.050000001</v>
      </c>
      <c r="H16" s="734">
        <f>E16/12*12</f>
        <v>16064007.439999999</v>
      </c>
      <c r="I16" s="44">
        <f t="shared" si="0"/>
        <v>-2791425.3899999987</v>
      </c>
      <c r="J16" s="330">
        <f t="shared" si="1"/>
        <v>-0.17376893035104313</v>
      </c>
      <c r="K16" s="736">
        <f t="shared" si="2"/>
        <v>16064007.439999999</v>
      </c>
    </row>
    <row r="17" spans="1:11" ht="12.75" customHeight="1" x14ac:dyDescent="0.25">
      <c r="A17" s="86" t="str">
        <f>'C4-FinPerf RE'!A17</f>
        <v>Licences and permits</v>
      </c>
      <c r="B17" s="171"/>
      <c r="C17" s="749">
        <v>112584</v>
      </c>
      <c r="D17" s="746">
        <v>1071357.9000000001</v>
      </c>
      <c r="E17" s="734">
        <v>1071357.9000000001</v>
      </c>
      <c r="F17" s="734">
        <v>126825.37000000001</v>
      </c>
      <c r="G17" s="734">
        <v>604456.46000000008</v>
      </c>
      <c r="H17" s="734">
        <f>E17/12*12</f>
        <v>1071357.9000000001</v>
      </c>
      <c r="I17" s="44">
        <f t="shared" si="0"/>
        <v>-466901.44000000006</v>
      </c>
      <c r="J17" s="330">
        <f t="shared" si="1"/>
        <v>-0.43580342292710961</v>
      </c>
      <c r="K17" s="736">
        <f t="shared" si="2"/>
        <v>1071357.9000000001</v>
      </c>
    </row>
    <row r="18" spans="1:11" ht="12.75" customHeight="1" x14ac:dyDescent="0.25">
      <c r="A18" s="86" t="str">
        <f>'C4-FinPerf RE'!A18</f>
        <v>Agency services</v>
      </c>
      <c r="B18" s="171"/>
      <c r="C18" s="749">
        <v>392037</v>
      </c>
      <c r="D18" s="746">
        <v>575982.80000000005</v>
      </c>
      <c r="E18" s="734">
        <v>575982.80000000005</v>
      </c>
      <c r="F18" s="734">
        <v>232170</v>
      </c>
      <c r="G18" s="734">
        <v>1487900</v>
      </c>
      <c r="H18" s="734">
        <f>E18/12*12</f>
        <v>575982.80000000005</v>
      </c>
      <c r="I18" s="44">
        <f t="shared" si="0"/>
        <v>911917.2</v>
      </c>
      <c r="J18" s="330">
        <f t="shared" si="1"/>
        <v>1.583236860545141</v>
      </c>
      <c r="K18" s="736">
        <f t="shared" si="2"/>
        <v>575982.80000000005</v>
      </c>
    </row>
    <row r="19" spans="1:11" ht="12.75" customHeight="1" x14ac:dyDescent="0.25">
      <c r="A19" s="86" t="str">
        <f>'C4-FinPerf RE'!A19</f>
        <v>Transfers and subsidies</v>
      </c>
      <c r="B19" s="171"/>
      <c r="C19" s="749">
        <v>667200100</v>
      </c>
      <c r="D19" s="746">
        <v>672022829</v>
      </c>
      <c r="E19" s="734">
        <v>687201130</v>
      </c>
      <c r="F19" s="734">
        <v>49143496.149999999</v>
      </c>
      <c r="G19" s="734">
        <v>637128043.97000015</v>
      </c>
      <c r="H19" s="734">
        <f>E19/12*12</f>
        <v>687201130</v>
      </c>
      <c r="I19" s="44">
        <f t="shared" si="0"/>
        <v>-50073086.029999852</v>
      </c>
      <c r="J19" s="330">
        <f t="shared" si="1"/>
        <v>-7.2865255663942016E-2</v>
      </c>
      <c r="K19" s="736">
        <f t="shared" si="2"/>
        <v>687201130</v>
      </c>
    </row>
    <row r="20" spans="1:11" ht="12.75" customHeight="1" x14ac:dyDescent="0.25">
      <c r="A20" s="86" t="str">
        <f>'C4-FinPerf RE'!A20</f>
        <v>Other revenue</v>
      </c>
      <c r="B20" s="171"/>
      <c r="C20" s="749">
        <v>159778553</v>
      </c>
      <c r="D20" s="746">
        <v>140145248.93999997</v>
      </c>
      <c r="E20" s="734">
        <v>140324292.47999999</v>
      </c>
      <c r="F20" s="734">
        <v>29771458.940000009</v>
      </c>
      <c r="G20" s="734">
        <v>125583573.89</v>
      </c>
      <c r="H20" s="734">
        <f>E20/12*12</f>
        <v>140324292.47999999</v>
      </c>
      <c r="I20" s="44">
        <f t="shared" si="0"/>
        <v>-14740718.589999989</v>
      </c>
      <c r="J20" s="330">
        <f t="shared" si="1"/>
        <v>-0.10504751764275555</v>
      </c>
      <c r="K20" s="736">
        <f t="shared" si="2"/>
        <v>140324292.47999999</v>
      </c>
    </row>
    <row r="21" spans="1:11" ht="12.75" customHeight="1" x14ac:dyDescent="0.25">
      <c r="A21" s="39" t="str">
        <f>'C4-FinPerf RE'!A21</f>
        <v>Gains on disposal of PPE</v>
      </c>
      <c r="B21" s="169"/>
      <c r="C21" s="749"/>
      <c r="D21" s="746"/>
      <c r="E21" s="734"/>
      <c r="F21" s="734">
        <v>2.9999971389770508E-2</v>
      </c>
      <c r="G21" s="734">
        <v>2.9998779296875E-2</v>
      </c>
      <c r="H21" s="734"/>
      <c r="I21" s="44">
        <f t="shared" si="0"/>
        <v>2.9998779296875E-2</v>
      </c>
      <c r="J21" s="330" t="e">
        <f t="shared" si="1"/>
        <v>#DIV/0!</v>
      </c>
      <c r="K21" s="736"/>
    </row>
    <row r="22" spans="1:11" ht="12.75" customHeight="1" x14ac:dyDescent="0.25">
      <c r="A22" s="548" t="s">
        <v>140</v>
      </c>
      <c r="B22" s="548"/>
      <c r="C22" s="243">
        <f t="shared" ref="C22:H22" si="3">SUM(C6:C10)+SUM(C12:C21)</f>
        <v>5027344757</v>
      </c>
      <c r="D22" s="74">
        <f t="shared" si="3"/>
        <v>5604622337.1070871</v>
      </c>
      <c r="E22" s="73">
        <f t="shared" si="3"/>
        <v>5619800637.8910866</v>
      </c>
      <c r="F22" s="73">
        <f t="shared" si="3"/>
        <v>320400916.73999995</v>
      </c>
      <c r="G22" s="73">
        <f t="shared" si="3"/>
        <v>5440672980.1499996</v>
      </c>
      <c r="H22" s="73">
        <f t="shared" si="3"/>
        <v>5619800637.8910866</v>
      </c>
      <c r="I22" s="73">
        <f>G22-H22</f>
        <v>-179127657.74108696</v>
      </c>
      <c r="J22" s="331">
        <f t="shared" si="1"/>
        <v>-3.1874379410068765E-2</v>
      </c>
      <c r="K22" s="145">
        <f>SUM(K6:K10)+SUM(K12:K21)</f>
        <v>5619800637.8910866</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1268313732</v>
      </c>
      <c r="D25" s="746">
        <v>1455869442.71</v>
      </c>
      <c r="E25" s="734">
        <v>1455410731.7000008</v>
      </c>
      <c r="F25" s="734">
        <v>78800952.099999979</v>
      </c>
      <c r="G25" s="734">
        <v>1250924393.7800012</v>
      </c>
      <c r="H25" s="734">
        <f t="shared" ref="H25:H35" si="4">E25/12*12</f>
        <v>1455410731.7000008</v>
      </c>
      <c r="I25" s="44">
        <f t="shared" ref="I25:I44" si="5">G25-H25</f>
        <v>-204486337.9199996</v>
      </c>
      <c r="J25" s="330">
        <f t="shared" ref="J25:J44" si="6">IF(I25=0,"",I25/H25)</f>
        <v>-0.14050077649293419</v>
      </c>
      <c r="K25" s="736">
        <f t="shared" ref="K25:K35" si="7">E25</f>
        <v>1455410731.7000008</v>
      </c>
    </row>
    <row r="26" spans="1:11" ht="12.75" customHeight="1" x14ac:dyDescent="0.25">
      <c r="A26" s="39" t="str">
        <f>'C4-FinPerf RE'!A26</f>
        <v>Remuneration of councillors</v>
      </c>
      <c r="B26" s="169"/>
      <c r="C26" s="749">
        <v>48573499</v>
      </c>
      <c r="D26" s="746">
        <v>51487908.93999999</v>
      </c>
      <c r="E26" s="734">
        <v>51487908.93999999</v>
      </c>
      <c r="F26" s="734">
        <v>3691384.77</v>
      </c>
      <c r="G26" s="734">
        <v>43759323.830000021</v>
      </c>
      <c r="H26" s="734">
        <f t="shared" si="4"/>
        <v>51487908.939999983</v>
      </c>
      <c r="I26" s="44">
        <f t="shared" si="5"/>
        <v>-7728585.1099999622</v>
      </c>
      <c r="J26" s="330">
        <f t="shared" si="6"/>
        <v>-0.1501048550836713</v>
      </c>
      <c r="K26" s="736">
        <f t="shared" si="7"/>
        <v>51487908.93999999</v>
      </c>
    </row>
    <row r="27" spans="1:11" ht="12.75" customHeight="1" x14ac:dyDescent="0.25">
      <c r="A27" s="39" t="str">
        <f>'C4-FinPerf RE'!A27</f>
        <v>Debt impairment</v>
      </c>
      <c r="B27" s="171"/>
      <c r="C27" s="749">
        <v>110178020</v>
      </c>
      <c r="D27" s="746">
        <v>116890701.2</v>
      </c>
      <c r="E27" s="734">
        <v>116890701.2</v>
      </c>
      <c r="F27" s="734">
        <v>6662.37</v>
      </c>
      <c r="G27" s="734">
        <v>20930220.59</v>
      </c>
      <c r="H27" s="734">
        <f t="shared" si="4"/>
        <v>116890701.20000002</v>
      </c>
      <c r="I27" s="44">
        <f t="shared" si="5"/>
        <v>-95960480.610000014</v>
      </c>
      <c r="J27" s="330">
        <f t="shared" si="6"/>
        <v>-0.82094195367869005</v>
      </c>
      <c r="K27" s="736">
        <f t="shared" si="7"/>
        <v>116890701.2</v>
      </c>
    </row>
    <row r="28" spans="1:11" ht="12.75" customHeight="1" x14ac:dyDescent="0.25">
      <c r="A28" s="39" t="str">
        <f>'C4-FinPerf RE'!A28</f>
        <v>Depreciation &amp; asset impairment</v>
      </c>
      <c r="B28" s="171"/>
      <c r="C28" s="749">
        <v>467691505</v>
      </c>
      <c r="D28" s="746">
        <v>492025080.2500006</v>
      </c>
      <c r="E28" s="734">
        <v>492071235.64999992</v>
      </c>
      <c r="F28" s="734">
        <v>-13559009.339999987</v>
      </c>
      <c r="G28" s="734">
        <v>417808444.08000022</v>
      </c>
      <c r="H28" s="734">
        <f t="shared" si="4"/>
        <v>492071235.64999992</v>
      </c>
      <c r="I28" s="44">
        <f t="shared" si="5"/>
        <v>-74262791.569999695</v>
      </c>
      <c r="J28" s="330">
        <f t="shared" si="6"/>
        <v>-0.15091878205785084</v>
      </c>
      <c r="K28" s="736">
        <f t="shared" si="7"/>
        <v>492071235.64999992</v>
      </c>
    </row>
    <row r="29" spans="1:11" ht="12.75" customHeight="1" x14ac:dyDescent="0.25">
      <c r="A29" s="39" t="str">
        <f>'C4-FinPerf RE'!A29</f>
        <v>Finance charges</v>
      </c>
      <c r="B29" s="171"/>
      <c r="C29" s="749">
        <v>50676476</v>
      </c>
      <c r="D29" s="746">
        <v>41660099</v>
      </c>
      <c r="E29" s="734">
        <v>41660099</v>
      </c>
      <c r="F29" s="734">
        <v>3291398.47</v>
      </c>
      <c r="G29" s="734">
        <v>43716969.409999996</v>
      </c>
      <c r="H29" s="734">
        <f t="shared" si="4"/>
        <v>41660099</v>
      </c>
      <c r="I29" s="44">
        <f t="shared" si="5"/>
        <v>2056870.4099999964</v>
      </c>
      <c r="J29" s="330">
        <f t="shared" si="6"/>
        <v>4.9372672158076156E-2</v>
      </c>
      <c r="K29" s="736">
        <f t="shared" si="7"/>
        <v>41660099</v>
      </c>
    </row>
    <row r="30" spans="1:11" ht="12.75" customHeight="1" x14ac:dyDescent="0.25">
      <c r="A30" s="39" t="str">
        <f>'C4-FinPerf RE'!A30</f>
        <v>Bulk purchases</v>
      </c>
      <c r="B30" s="171"/>
      <c r="C30" s="749">
        <v>2010059855</v>
      </c>
      <c r="D30" s="746">
        <v>2282599888.9785767</v>
      </c>
      <c r="E30" s="734">
        <v>2282599888.9785767</v>
      </c>
      <c r="F30" s="734">
        <v>307425551.19</v>
      </c>
      <c r="G30" s="734">
        <v>2491126596.8000002</v>
      </c>
      <c r="H30" s="734">
        <f t="shared" si="4"/>
        <v>2282599888.9785767</v>
      </c>
      <c r="I30" s="44">
        <f t="shared" si="5"/>
        <v>208526707.82142353</v>
      </c>
      <c r="J30" s="330">
        <f t="shared" si="6"/>
        <v>9.1354910174264295E-2</v>
      </c>
      <c r="K30" s="736">
        <f t="shared" si="7"/>
        <v>2282599888.9785767</v>
      </c>
    </row>
    <row r="31" spans="1:11" ht="12.75" customHeight="1" x14ac:dyDescent="0.25">
      <c r="A31" s="39" t="str">
        <f>'C4-FinPerf RE'!A31</f>
        <v>Other materials</v>
      </c>
      <c r="B31" s="171"/>
      <c r="C31" s="749">
        <v>59068739.030000009</v>
      </c>
      <c r="D31" s="746">
        <v>55756420.649999999</v>
      </c>
      <c r="E31" s="734">
        <v>51560937.43</v>
      </c>
      <c r="F31" s="734">
        <v>15022183.59</v>
      </c>
      <c r="G31" s="734">
        <v>59177577.360000052</v>
      </c>
      <c r="H31" s="734">
        <f t="shared" si="4"/>
        <v>51560937.430000007</v>
      </c>
      <c r="I31" s="44">
        <f t="shared" si="5"/>
        <v>7616639.9300000444</v>
      </c>
      <c r="J31" s="330">
        <f t="shared" si="6"/>
        <v>0.14772112978629456</v>
      </c>
      <c r="K31" s="736">
        <f t="shared" si="7"/>
        <v>51560937.43</v>
      </c>
    </row>
    <row r="32" spans="1:11" ht="12.75" customHeight="1" x14ac:dyDescent="0.25">
      <c r="A32" s="39" t="str">
        <f>'C4-FinPerf RE'!A32</f>
        <v>Contracted services</v>
      </c>
      <c r="B32" s="171"/>
      <c r="C32" s="749">
        <v>671010484.44999993</v>
      </c>
      <c r="D32" s="746">
        <v>587242320.13000011</v>
      </c>
      <c r="E32" s="734">
        <v>524585180</v>
      </c>
      <c r="F32" s="734">
        <v>92617923.649999991</v>
      </c>
      <c r="G32" s="734">
        <v>475259230.79999977</v>
      </c>
      <c r="H32" s="734">
        <f t="shared" si="4"/>
        <v>524585180</v>
      </c>
      <c r="I32" s="44">
        <f t="shared" si="5"/>
        <v>-49325949.200000226</v>
      </c>
      <c r="J32" s="330">
        <f t="shared" si="6"/>
        <v>-9.4028483991866155E-2</v>
      </c>
      <c r="K32" s="736">
        <f t="shared" si="7"/>
        <v>524585180</v>
      </c>
    </row>
    <row r="33" spans="1:11" ht="12.75" customHeight="1" x14ac:dyDescent="0.25">
      <c r="A33" s="39" t="str">
        <f>'C4-FinPerf RE'!A33</f>
        <v>Transfers and subsidies</v>
      </c>
      <c r="B33" s="171"/>
      <c r="C33" s="749">
        <v>42492244</v>
      </c>
      <c r="D33" s="746">
        <v>46379439.519999988</v>
      </c>
      <c r="E33" s="734">
        <v>49902933.629999988</v>
      </c>
      <c r="F33" s="734">
        <v>-22725272.349999998</v>
      </c>
      <c r="G33" s="734">
        <v>25306677.319999997</v>
      </c>
      <c r="H33" s="734">
        <f t="shared" si="4"/>
        <v>49902933.629999988</v>
      </c>
      <c r="I33" s="44">
        <f t="shared" si="5"/>
        <v>-24596256.309999991</v>
      </c>
      <c r="J33" s="330">
        <f t="shared" si="6"/>
        <v>-0.49288197147619267</v>
      </c>
      <c r="K33" s="736">
        <f t="shared" si="7"/>
        <v>49902933.629999988</v>
      </c>
    </row>
    <row r="34" spans="1:11" ht="12.75" customHeight="1" x14ac:dyDescent="0.25">
      <c r="A34" s="39" t="str">
        <f>'C4-FinPerf RE'!A34</f>
        <v>Other expenditure</v>
      </c>
      <c r="B34" s="171"/>
      <c r="C34" s="749">
        <v>206293884.52000001</v>
      </c>
      <c r="D34" s="746">
        <v>198552291.56999794</v>
      </c>
      <c r="E34" s="734">
        <v>165922456.08000007</v>
      </c>
      <c r="F34" s="734">
        <v>-102935099.90999997</v>
      </c>
      <c r="G34" s="734">
        <v>220581867.58000019</v>
      </c>
      <c r="H34" s="734">
        <f t="shared" si="4"/>
        <v>165922456.08000007</v>
      </c>
      <c r="I34" s="44">
        <f t="shared" si="5"/>
        <v>54659411.500000119</v>
      </c>
      <c r="J34" s="330">
        <f t="shared" si="6"/>
        <v>0.32942744937216878</v>
      </c>
      <c r="K34" s="736">
        <f t="shared" si="7"/>
        <v>165922456.08000007</v>
      </c>
    </row>
    <row r="35" spans="1:11" ht="12.75" customHeight="1" x14ac:dyDescent="0.25">
      <c r="A35" s="39" t="str">
        <f>'C4-FinPerf RE'!A35</f>
        <v>Loss on disposal of PPE</v>
      </c>
      <c r="B35" s="169"/>
      <c r="C35" s="749"/>
      <c r="D35" s="746">
        <v>43396</v>
      </c>
      <c r="E35" s="734">
        <v>43396</v>
      </c>
      <c r="F35" s="734"/>
      <c r="G35" s="734"/>
      <c r="H35" s="734">
        <f t="shared" si="4"/>
        <v>43396</v>
      </c>
      <c r="I35" s="44">
        <f t="shared" si="5"/>
        <v>-43396</v>
      </c>
      <c r="J35" s="330">
        <f t="shared" si="6"/>
        <v>-1</v>
      </c>
      <c r="K35" s="736">
        <f t="shared" si="7"/>
        <v>43396</v>
      </c>
    </row>
    <row r="36" spans="1:11" ht="12.75" customHeight="1" x14ac:dyDescent="0.25">
      <c r="A36" s="350" t="s">
        <v>495</v>
      </c>
      <c r="B36" s="570"/>
      <c r="C36" s="243">
        <f t="shared" ref="C36:H36" si="8">SUM(C25:C35)</f>
        <v>4934358439.000001</v>
      </c>
      <c r="D36" s="74">
        <f t="shared" si="8"/>
        <v>5328506988.948575</v>
      </c>
      <c r="E36" s="73">
        <f t="shared" si="8"/>
        <v>5232135468.6085777</v>
      </c>
      <c r="F36" s="73">
        <f t="shared" si="8"/>
        <v>361636674.53999996</v>
      </c>
      <c r="G36" s="73">
        <f t="shared" si="8"/>
        <v>5048591301.5500011</v>
      </c>
      <c r="H36" s="73">
        <f t="shared" si="8"/>
        <v>5232135468.6085777</v>
      </c>
      <c r="I36" s="73">
        <f t="shared" si="5"/>
        <v>-183544167.05857658</v>
      </c>
      <c r="J36" s="331">
        <f t="shared" si="6"/>
        <v>-3.5080163378756683E-2</v>
      </c>
      <c r="K36" s="145">
        <f>SUM(K25:K35)</f>
        <v>5232135468.6085777</v>
      </c>
    </row>
    <row r="37" spans="1:11" ht="5.0999999999999996" customHeight="1" x14ac:dyDescent="0.25">
      <c r="A37" s="42"/>
      <c r="B37" s="169"/>
      <c r="C37" s="134"/>
      <c r="D37" s="46"/>
      <c r="E37" s="44"/>
      <c r="F37" s="44"/>
      <c r="G37" s="44"/>
      <c r="H37" s="44"/>
      <c r="I37" s="44">
        <f t="shared" si="5"/>
        <v>0</v>
      </c>
      <c r="J37" s="330"/>
      <c r="K37" s="144"/>
    </row>
    <row r="38" spans="1:11" ht="12.75" customHeight="1" x14ac:dyDescent="0.25">
      <c r="A38" s="87" t="str">
        <f>'C4-FinPerf RE'!A38</f>
        <v>Surplus/(Deficit)</v>
      </c>
      <c r="B38" s="169"/>
      <c r="C38" s="134">
        <f t="shared" ref="C38:H38" si="9">C22-C36</f>
        <v>92986317.999999046</v>
      </c>
      <c r="D38" s="46">
        <f t="shared" si="9"/>
        <v>276115348.15851212</v>
      </c>
      <c r="E38" s="44">
        <f t="shared" si="9"/>
        <v>387665169.28250885</v>
      </c>
      <c r="F38" s="44">
        <f t="shared" si="9"/>
        <v>-41235757.800000012</v>
      </c>
      <c r="G38" s="44">
        <f t="shared" si="9"/>
        <v>392081678.59999847</v>
      </c>
      <c r="H38" s="44">
        <f t="shared" si="9"/>
        <v>387665169.28250885</v>
      </c>
      <c r="I38" s="44">
        <f t="shared" si="5"/>
        <v>4416509.317489624</v>
      </c>
      <c r="J38" s="330">
        <f t="shared" si="6"/>
        <v>1.1392587385819842E-2</v>
      </c>
      <c r="K38" s="144">
        <f>K22-K36</f>
        <v>387665169.28250885</v>
      </c>
    </row>
    <row r="39" spans="1:11" ht="21.6" customHeight="1" x14ac:dyDescent="0.25">
      <c r="A39" s="111" t="str">
        <f>'C4-FinPerf RE'!A39</f>
        <v>Transfers and subsidies - capital (monetary allocations) (National / Provincial and District)</v>
      </c>
      <c r="B39" s="169"/>
      <c r="C39" s="749">
        <v>460142625</v>
      </c>
      <c r="D39" s="746">
        <v>439342400</v>
      </c>
      <c r="E39" s="734">
        <v>674822398</v>
      </c>
      <c r="F39" s="734">
        <v>125029871.22000001</v>
      </c>
      <c r="G39" s="734">
        <v>431537130.45999998</v>
      </c>
      <c r="H39" s="734">
        <f>E39/12*12</f>
        <v>674822398</v>
      </c>
      <c r="I39" s="44">
        <f t="shared" si="5"/>
        <v>-243285267.54000002</v>
      </c>
      <c r="J39" s="330">
        <f t="shared" si="6"/>
        <v>-0.36051747579961035</v>
      </c>
      <c r="K39" s="736">
        <f>E39</f>
        <v>674822398</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5"/>
        <v>0</v>
      </c>
      <c r="J40" s="330" t="str">
        <f t="shared" si="6"/>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5"/>
        <v>0</v>
      </c>
      <c r="J41" s="330" t="str">
        <f t="shared" si="6"/>
        <v/>
      </c>
      <c r="K41" s="736"/>
    </row>
    <row r="42" spans="1:11" ht="25.5" x14ac:dyDescent="0.25">
      <c r="A42" s="571" t="str">
        <f>'C4-FinPerf RE'!A42</f>
        <v>Surplus/(Deficit) after capital transfers &amp; contributions</v>
      </c>
      <c r="B42" s="309"/>
      <c r="C42" s="572">
        <f>C38+SUM(C39:C41)</f>
        <v>553128942.99999905</v>
      </c>
      <c r="D42" s="573">
        <f t="shared" ref="D42:K42" si="10">D38+SUM(D39:D41)</f>
        <v>715457748.15851212</v>
      </c>
      <c r="E42" s="514">
        <f t="shared" si="10"/>
        <v>1062487567.2825089</v>
      </c>
      <c r="F42" s="514">
        <f t="shared" si="10"/>
        <v>83794113.420000002</v>
      </c>
      <c r="G42" s="514">
        <f t="shared" si="10"/>
        <v>823618809.05999851</v>
      </c>
      <c r="H42" s="514">
        <f t="shared" si="10"/>
        <v>1062487567.2825089</v>
      </c>
      <c r="I42" s="514">
        <f t="shared" si="5"/>
        <v>-238868758.22251034</v>
      </c>
      <c r="J42" s="515">
        <f t="shared" si="6"/>
        <v>-0.22482028550551181</v>
      </c>
      <c r="K42" s="574">
        <f t="shared" si="10"/>
        <v>1062487567.2825089</v>
      </c>
    </row>
    <row r="43" spans="1:11" ht="12.75" customHeight="1" x14ac:dyDescent="0.25">
      <c r="A43" s="111" t="str">
        <f>'C4-FinPerf RE'!A43</f>
        <v>Taxation</v>
      </c>
      <c r="B43" s="169"/>
      <c r="C43" s="749"/>
      <c r="D43" s="746"/>
      <c r="E43" s="734"/>
      <c r="F43" s="734"/>
      <c r="G43" s="734"/>
      <c r="H43" s="734"/>
      <c r="I43" s="44">
        <f t="shared" si="5"/>
        <v>0</v>
      </c>
      <c r="J43" s="330" t="str">
        <f t="shared" si="6"/>
        <v/>
      </c>
      <c r="K43" s="736"/>
    </row>
    <row r="44" spans="1:11" ht="12.75" customHeight="1" x14ac:dyDescent="0.25">
      <c r="A44" s="53" t="str">
        <f>'C4-FinPerf RE'!A44</f>
        <v>Surplus/(Deficit) after taxation</v>
      </c>
      <c r="B44" s="236"/>
      <c r="C44" s="112">
        <f t="shared" ref="C44:H44" si="11">C42-C43</f>
        <v>553128942.99999905</v>
      </c>
      <c r="D44" s="56">
        <f t="shared" si="11"/>
        <v>715457748.15851212</v>
      </c>
      <c r="E44" s="55">
        <f t="shared" si="11"/>
        <v>1062487567.2825089</v>
      </c>
      <c r="F44" s="55">
        <f t="shared" si="11"/>
        <v>83794113.420000002</v>
      </c>
      <c r="G44" s="55">
        <f t="shared" si="11"/>
        <v>823618809.05999851</v>
      </c>
      <c r="H44" s="55">
        <f t="shared" si="11"/>
        <v>1062487567.2825089</v>
      </c>
      <c r="I44" s="55">
        <f t="shared" si="5"/>
        <v>-238868758.22251034</v>
      </c>
      <c r="J44" s="332">
        <f t="shared" si="6"/>
        <v>-0.22482028550551181</v>
      </c>
      <c r="K44" s="235">
        <f>K42-K43</f>
        <v>1062487567.2825089</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23" activePane="bottomRight" state="frozen"/>
      <selection pane="topRight"/>
      <selection pane="bottomLeft"/>
      <selection pane="bottomRight" activeCell="M20" sqref="M2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7" t="str">
        <f>muni&amp; " - "&amp;S71Q&amp; " - "&amp;Head57</f>
        <v>KZN225 Msunduzi - Supporting Table SC11 Monthly Budget Statement - summary of municipal entities - Q4 Fourth Quarter</v>
      </c>
      <c r="B1" s="1037"/>
      <c r="C1" s="1037"/>
      <c r="D1" s="1037"/>
      <c r="E1" s="1037"/>
      <c r="F1" s="1037"/>
      <c r="G1" s="1037"/>
      <c r="H1" s="1037"/>
      <c r="I1" s="1037"/>
      <c r="J1" s="1037"/>
      <c r="K1" s="1037"/>
    </row>
    <row r="2" spans="1:11" x14ac:dyDescent="0.25">
      <c r="A2" s="1026" t="str">
        <f>desc</f>
        <v>Description</v>
      </c>
      <c r="B2" s="1019" t="str">
        <f>head27</f>
        <v>Ref</v>
      </c>
      <c r="C2" s="158" t="str">
        <f>Head1</f>
        <v>2018/19</v>
      </c>
      <c r="D2" s="1021" t="str">
        <f>Head2</f>
        <v>Budget Year 2019/20</v>
      </c>
      <c r="E2" s="1022"/>
      <c r="F2" s="1022"/>
      <c r="G2" s="1022"/>
      <c r="H2" s="1022"/>
      <c r="I2" s="1022"/>
      <c r="J2" s="1022"/>
      <c r="K2" s="1023"/>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7" sqref="E17"/>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7" t="str">
        <f>muni&amp; " - "&amp;S71R&amp; " - "&amp;Head57</f>
        <v>KZN225 Msunduzi - Supporting Table SC12 Consolidated Monthly Budget Statement - capital expenditure trend  - Q4 Fourth Quarter</v>
      </c>
      <c r="B1" s="1037"/>
      <c r="C1" s="1037"/>
      <c r="D1" s="1037"/>
      <c r="E1" s="1037"/>
      <c r="F1" s="1037"/>
      <c r="G1" s="1037"/>
      <c r="H1" s="1037"/>
      <c r="I1" s="1037"/>
      <c r="J1" s="1037"/>
    </row>
    <row r="2" spans="1:10" x14ac:dyDescent="0.25">
      <c r="A2" s="1026" t="s">
        <v>898</v>
      </c>
      <c r="B2" s="139" t="str">
        <f>Head1</f>
        <v>2018/19</v>
      </c>
      <c r="C2" s="1021" t="str">
        <f>Head2</f>
        <v>Budget Year 2019/20</v>
      </c>
      <c r="D2" s="1022"/>
      <c r="E2" s="1022"/>
      <c r="F2" s="1022"/>
      <c r="G2" s="1022"/>
      <c r="H2" s="1022"/>
      <c r="I2" s="1022"/>
      <c r="J2" s="1023"/>
    </row>
    <row r="3" spans="1:10" ht="38.25" x14ac:dyDescent="0.25">
      <c r="A3" s="1027"/>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51123878.416666664</v>
      </c>
      <c r="C6" s="754">
        <v>62228094.725833334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51123878.416666664</v>
      </c>
      <c r="C7" s="754">
        <v>62228094.725833334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51123878.416666664</v>
      </c>
      <c r="C8" s="754">
        <v>62228094.725833334</v>
      </c>
      <c r="D8" s="734">
        <v>58394184.533333331</v>
      </c>
      <c r="E8" s="734">
        <v>44817031.049999997</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51123878.416666664</v>
      </c>
      <c r="C9" s="754">
        <v>62228094.725833334</v>
      </c>
      <c r="D9" s="734">
        <v>58394184.533333331</v>
      </c>
      <c r="E9" s="734">
        <v>34585671.619999997</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51123878.416666664</v>
      </c>
      <c r="C10" s="754">
        <v>62228094.725833334</v>
      </c>
      <c r="D10" s="734">
        <v>58394184.533333331</v>
      </c>
      <c r="E10" s="734">
        <v>30684238.440000001</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51123878.416666664</v>
      </c>
      <c r="C11" s="754">
        <v>62228094.725833334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51123878.416666664</v>
      </c>
      <c r="C12" s="754">
        <v>62228094.725833334</v>
      </c>
      <c r="D12" s="734">
        <v>58394184.533333331</v>
      </c>
      <c r="E12" s="734">
        <v>18688136.899999999</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51123878.416666664</v>
      </c>
      <c r="C13" s="754">
        <v>62228094.725833334</v>
      </c>
      <c r="D13" s="734">
        <v>58394184.533333331</v>
      </c>
      <c r="E13" s="734">
        <v>22481573.649999999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51123878.416666664</v>
      </c>
      <c r="C14" s="754">
        <v>62228094.725833334</v>
      </c>
      <c r="D14" s="734">
        <v>58394184.533333331</v>
      </c>
      <c r="E14" s="734">
        <v>23150031.02</v>
      </c>
      <c r="F14" s="408" t="e">
        <f t="shared" si="3"/>
        <v>#VALUE!</v>
      </c>
      <c r="G14" s="408">
        <f t="shared" si="4"/>
        <v>525547660.79999983</v>
      </c>
      <c r="H14" s="44" t="e">
        <f t="shared" si="0"/>
        <v>#VALUE!</v>
      </c>
      <c r="I14" s="124" t="e">
        <f t="shared" si="1"/>
        <v>#VALUE!</v>
      </c>
      <c r="J14" s="675" t="e">
        <f t="shared" si="2"/>
        <v>#VALUE!</v>
      </c>
    </row>
    <row r="15" spans="1:10" ht="12.75" customHeight="1" x14ac:dyDescent="0.25">
      <c r="A15" s="39" t="s">
        <v>925</v>
      </c>
      <c r="B15" s="749">
        <v>51123878.416666664</v>
      </c>
      <c r="C15" s="754">
        <v>62228094.725833334</v>
      </c>
      <c r="D15" s="734">
        <v>58394184.533333331</v>
      </c>
      <c r="E15" s="734">
        <v>13115388.32</v>
      </c>
      <c r="F15" s="408" t="e">
        <f t="shared" si="3"/>
        <v>#VALUE!</v>
      </c>
      <c r="G15" s="408">
        <f t="shared" si="4"/>
        <v>583941845.33333313</v>
      </c>
      <c r="H15" s="44" t="e">
        <f t="shared" si="0"/>
        <v>#VALUE!</v>
      </c>
      <c r="I15" s="124" t="e">
        <f t="shared" si="1"/>
        <v>#VALUE!</v>
      </c>
      <c r="J15" s="676" t="e">
        <f t="shared" si="2"/>
        <v>#VALUE!</v>
      </c>
    </row>
    <row r="16" spans="1:10" ht="12.75" customHeight="1" x14ac:dyDescent="0.25">
      <c r="A16" s="39" t="s">
        <v>926</v>
      </c>
      <c r="B16" s="749">
        <v>51123878.416666664</v>
      </c>
      <c r="C16" s="754">
        <v>62228094.725833334</v>
      </c>
      <c r="D16" s="734">
        <v>58394184.533333331</v>
      </c>
      <c r="E16" s="734">
        <v>25635023.07</v>
      </c>
      <c r="F16" s="408" t="e">
        <f t="shared" si="3"/>
        <v>#VALUE!</v>
      </c>
      <c r="G16" s="408">
        <f t="shared" si="4"/>
        <v>642336029.86666644</v>
      </c>
      <c r="H16" s="44" t="e">
        <f t="shared" si="0"/>
        <v>#VALUE!</v>
      </c>
      <c r="I16" s="124" t="e">
        <f t="shared" si="1"/>
        <v>#VALUE!</v>
      </c>
      <c r="J16" s="676" t="e">
        <f t="shared" si="2"/>
        <v>#VALUE!</v>
      </c>
    </row>
    <row r="17" spans="1:10" ht="12.75" customHeight="1" x14ac:dyDescent="0.25">
      <c r="A17" s="247" t="s">
        <v>927</v>
      </c>
      <c r="B17" s="750">
        <v>51123878.416666664</v>
      </c>
      <c r="C17" s="758">
        <v>62228094.725833334</v>
      </c>
      <c r="D17" s="752">
        <v>58394184.533333331</v>
      </c>
      <c r="E17" s="734">
        <v>132007206.05</v>
      </c>
      <c r="F17" s="409" t="e">
        <f t="shared" si="3"/>
        <v>#VALUE!</v>
      </c>
      <c r="G17" s="409">
        <f t="shared" si="4"/>
        <v>700730214.39999974</v>
      </c>
      <c r="H17" s="99" t="e">
        <f>IF(F17="",0,G17-F17)</f>
        <v>#VALUE!</v>
      </c>
      <c r="I17" s="324" t="e">
        <f>IF(F17="","",IF(H17=0,"",H17/G17))</f>
        <v>#VALUE!</v>
      </c>
      <c r="J17" s="677" t="e">
        <f>IF(F17="","",F17/$C$18)</f>
        <v>#VALUE!</v>
      </c>
    </row>
    <row r="18" spans="1:10" ht="12.75" customHeight="1" x14ac:dyDescent="0.25">
      <c r="A18" s="94" t="s">
        <v>572</v>
      </c>
      <c r="B18" s="244">
        <f>SUM(B6:B17)</f>
        <v>613486541</v>
      </c>
      <c r="C18" s="265">
        <f>SUM(C6:C17)</f>
        <v>746737136.70999992</v>
      </c>
      <c r="D18" s="76">
        <f>SUM(D6:D17)</f>
        <v>700730214.39999974</v>
      </c>
      <c r="E18" s="76">
        <f>SUM(E6:E17)</f>
        <v>420053219.23000002</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7" t="s">
        <v>649</v>
      </c>
      <c r="B1" s="988"/>
      <c r="C1" s="988"/>
      <c r="D1" s="989"/>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Q4 Fourth Quarter</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2" t="s">
        <v>760</v>
      </c>
      <c r="B72" s="993"/>
      <c r="C72" s="993"/>
      <c r="D72" s="994"/>
    </row>
    <row r="73" spans="1:6" x14ac:dyDescent="0.2">
      <c r="A73" s="731" t="s">
        <v>664</v>
      </c>
      <c r="B73" s="732" t="str">
        <f>'Lookup and lists'!B27</f>
        <v>KZN225 Msunduzi</v>
      </c>
      <c r="C73" s="732"/>
      <c r="D73" s="6"/>
    </row>
    <row r="74" spans="1:6" x14ac:dyDescent="0.2">
      <c r="A74" s="731" t="s">
        <v>86</v>
      </c>
      <c r="B74" s="733">
        <v>1</v>
      </c>
      <c r="C74" s="732" t="s">
        <v>158</v>
      </c>
      <c r="D74" s="6">
        <v>2</v>
      </c>
    </row>
    <row r="75" spans="1:6" x14ac:dyDescent="0.2">
      <c r="A75" s="648" t="str">
        <f>IF((MuniEntities=1)*(MuniType=2),"YES","NO")</f>
        <v>YES</v>
      </c>
      <c r="B75" s="372" t="s">
        <v>631</v>
      </c>
      <c r="C75" s="590"/>
      <c r="D75" s="6"/>
    </row>
    <row r="76" spans="1:6" x14ac:dyDescent="0.2">
      <c r="A76" s="990" t="s">
        <v>803</v>
      </c>
      <c r="B76" s="991"/>
      <c r="C76" s="369"/>
      <c r="D76" s="18"/>
    </row>
    <row r="77" spans="1:6" x14ac:dyDescent="0.2">
      <c r="A77" s="11" t="s">
        <v>643</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Consolidated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Consolidated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5" activePane="bottomRight" state="frozen"/>
      <selection pane="topRight"/>
      <selection pane="bottomLeft"/>
      <selection pane="bottomRight" activeCell="J173" sqref="J173"/>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"&amp;S71Sa&amp; " - "&amp;Head57</f>
        <v>KZN225 Msunduzi - Supporting Table SC13a Consolidated Monthly Budget Statement - capital expenditure on new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258437752.31000006</v>
      </c>
      <c r="F7" s="102">
        <f t="shared" si="0"/>
        <v>0</v>
      </c>
      <c r="G7" s="102">
        <f t="shared" si="0"/>
        <v>0</v>
      </c>
      <c r="H7" s="102">
        <f t="shared" si="0"/>
        <v>258437752.31000006</v>
      </c>
      <c r="I7" s="101">
        <f t="shared" ref="I7:I37" si="1">H7-G7</f>
        <v>258437752.31000006</v>
      </c>
      <c r="J7" s="580">
        <f t="shared" ref="J7:J37" si="2">IF(I7=0,"",I7/H7)</f>
        <v>1</v>
      </c>
      <c r="K7" s="604">
        <f>K8+K13+K17+K27+K38+K45+K53+K63+K69</f>
        <v>258437752.31000006</v>
      </c>
    </row>
    <row r="8" spans="1:11" ht="12.75" customHeight="1" x14ac:dyDescent="0.25">
      <c r="A8" s="518" t="s">
        <v>1229</v>
      </c>
      <c r="B8" s="169"/>
      <c r="C8" s="678">
        <f t="shared" ref="C8:H8" si="3">SUM(C9:C12)</f>
        <v>0</v>
      </c>
      <c r="D8" s="610">
        <f t="shared" si="3"/>
        <v>3800000</v>
      </c>
      <c r="E8" s="609">
        <f t="shared" si="3"/>
        <v>194610651.31000006</v>
      </c>
      <c r="F8" s="609">
        <f t="shared" si="3"/>
        <v>0</v>
      </c>
      <c r="G8" s="609">
        <f t="shared" si="3"/>
        <v>0</v>
      </c>
      <c r="H8" s="609">
        <f t="shared" si="3"/>
        <v>194610651.31000006</v>
      </c>
      <c r="I8" s="258">
        <f t="shared" si="1"/>
        <v>194610651.31000006</v>
      </c>
      <c r="J8" s="576">
        <f t="shared" si="2"/>
        <v>1</v>
      </c>
      <c r="K8" s="611">
        <f>SUM(K9:K12)</f>
        <v>194610651.31000006</v>
      </c>
    </row>
    <row r="9" spans="1:11" ht="12.75" customHeight="1" x14ac:dyDescent="0.25">
      <c r="A9" s="575" t="s">
        <v>174</v>
      </c>
      <c r="B9" s="169"/>
      <c r="C9" s="749"/>
      <c r="D9" s="746">
        <v>3800000</v>
      </c>
      <c r="E9" s="734">
        <v>194610651.31000006</v>
      </c>
      <c r="F9" s="734"/>
      <c r="G9" s="734"/>
      <c r="H9" s="734">
        <f>E9/12*12</f>
        <v>194610651.31000006</v>
      </c>
      <c r="I9" s="258">
        <f t="shared" si="1"/>
        <v>194610651.31000006</v>
      </c>
      <c r="J9" s="576">
        <f t="shared" si="2"/>
        <v>1</v>
      </c>
      <c r="K9" s="736">
        <f>E9</f>
        <v>194610651.31000006</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46827101</v>
      </c>
      <c r="E17" s="408">
        <f t="shared" si="5"/>
        <v>46827101</v>
      </c>
      <c r="F17" s="408">
        <f t="shared" si="5"/>
        <v>0</v>
      </c>
      <c r="G17" s="408">
        <f t="shared" si="5"/>
        <v>0</v>
      </c>
      <c r="H17" s="408">
        <f t="shared" si="5"/>
        <v>46827101</v>
      </c>
      <c r="I17" s="258">
        <f t="shared" si="1"/>
        <v>46827101</v>
      </c>
      <c r="J17" s="576">
        <f t="shared" si="2"/>
        <v>1</v>
      </c>
      <c r="K17" s="643">
        <f>SUM(K18:K26)</f>
        <v>46827101</v>
      </c>
    </row>
    <row r="18" spans="1:11" ht="12.75" customHeight="1" x14ac:dyDescent="0.25">
      <c r="A18" s="575" t="s">
        <v>1238</v>
      </c>
      <c r="B18" s="169"/>
      <c r="C18" s="749"/>
      <c r="D18" s="746">
        <v>38127101</v>
      </c>
      <c r="E18" s="734">
        <v>38127101</v>
      </c>
      <c r="F18" s="734"/>
      <c r="G18" s="734"/>
      <c r="H18" s="734">
        <f>E18/12*12</f>
        <v>38127101</v>
      </c>
      <c r="I18" s="258">
        <f t="shared" si="1"/>
        <v>38127101</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E23/12*12</f>
        <v>8700000</v>
      </c>
      <c r="I23" s="258">
        <f t="shared" si="1"/>
        <v>8700000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1257</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8"/>
        <v>0</v>
      </c>
      <c r="J43" s="576" t="str">
        <f t="shared" si="9"/>
        <v/>
      </c>
      <c r="K43" s="736"/>
    </row>
    <row r="44" spans="1:11" ht="12.75" customHeight="1" x14ac:dyDescent="0.25">
      <c r="A44" s="575" t="s">
        <v>1232</v>
      </c>
      <c r="B44" s="169"/>
      <c r="C44" s="749"/>
      <c r="D44" s="746"/>
      <c r="E44" s="734"/>
      <c r="F44" s="734"/>
      <c r="G44" s="734"/>
      <c r="H44" s="734"/>
      <c r="I44" s="258">
        <f t="shared" si="8"/>
        <v>0</v>
      </c>
      <c r="J44" s="576" t="str">
        <f t="shared" si="9"/>
        <v/>
      </c>
      <c r="K44" s="736"/>
    </row>
    <row r="45" spans="1:11" ht="12.75" customHeight="1" x14ac:dyDescent="0.25">
      <c r="A45" s="517" t="s">
        <v>1261</v>
      </c>
      <c r="B45" s="169"/>
      <c r="C45" s="649">
        <f t="shared" ref="C45:H45" si="10">SUM(C46:C52)</f>
        <v>0</v>
      </c>
      <c r="D45" s="650">
        <f t="shared" si="10"/>
        <v>17000000</v>
      </c>
      <c r="E45" s="408">
        <f t="shared" si="10"/>
        <v>17000000</v>
      </c>
      <c r="F45" s="408">
        <f t="shared" si="10"/>
        <v>0</v>
      </c>
      <c r="G45" s="408">
        <f t="shared" si="10"/>
        <v>0</v>
      </c>
      <c r="H45" s="408">
        <f t="shared" si="10"/>
        <v>17000000</v>
      </c>
      <c r="I45" s="258">
        <f t="shared" ref="I45:I68" si="11">H45-G45</f>
        <v>17000000</v>
      </c>
      <c r="J45" s="576">
        <f t="shared" ref="J45:J68" si="12">IF(I45=0,"",I45/H45)</f>
        <v>1</v>
      </c>
      <c r="K45" s="643">
        <f>SUM(K46:K52)</f>
        <v>17000000</v>
      </c>
    </row>
    <row r="46" spans="1:11" ht="12.75" customHeight="1" x14ac:dyDescent="0.25">
      <c r="A46" s="575" t="s">
        <v>1262</v>
      </c>
      <c r="B46" s="169"/>
      <c r="C46" s="749"/>
      <c r="D46" s="746">
        <v>17000000</v>
      </c>
      <c r="E46" s="734">
        <v>17000000</v>
      </c>
      <c r="F46" s="734"/>
      <c r="G46" s="734"/>
      <c r="H46" s="734">
        <f>E46/12*12</f>
        <v>17000000</v>
      </c>
      <c r="I46" s="258">
        <f t="shared" si="11"/>
        <v>17000000</v>
      </c>
      <c r="J46" s="576">
        <f t="shared" si="12"/>
        <v>1</v>
      </c>
      <c r="K46" s="736">
        <f>E46</f>
        <v>17000000</v>
      </c>
    </row>
    <row r="47" spans="1:11" ht="12.75" customHeight="1" x14ac:dyDescent="0.25">
      <c r="A47" s="575" t="s">
        <v>1263</v>
      </c>
      <c r="B47" s="169"/>
      <c r="C47" s="749"/>
      <c r="D47" s="746"/>
      <c r="E47" s="734"/>
      <c r="F47" s="734"/>
      <c r="G47" s="734"/>
      <c r="H47" s="734"/>
      <c r="I47" s="258">
        <f t="shared" si="11"/>
        <v>0</v>
      </c>
      <c r="J47" s="576" t="str">
        <f t="shared" si="12"/>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1"/>
        <v>0</v>
      </c>
      <c r="J49" s="576" t="str">
        <f t="shared" si="12"/>
        <v/>
      </c>
      <c r="K49" s="736"/>
    </row>
    <row r="50" spans="1:11" ht="12.75" customHeight="1" x14ac:dyDescent="0.25">
      <c r="A50" s="575" t="s">
        <v>1266</v>
      </c>
      <c r="B50" s="169"/>
      <c r="C50" s="749"/>
      <c r="D50" s="746"/>
      <c r="E50" s="734"/>
      <c r="F50" s="734"/>
      <c r="G50" s="734"/>
      <c r="H50" s="734"/>
      <c r="I50" s="258">
        <f t="shared" si="11"/>
        <v>0</v>
      </c>
      <c r="J50" s="576" t="str">
        <f t="shared" si="12"/>
        <v/>
      </c>
      <c r="K50" s="736"/>
    </row>
    <row r="51" spans="1:11" ht="12.75" customHeight="1" x14ac:dyDescent="0.25">
      <c r="A51" s="575" t="s">
        <v>1267</v>
      </c>
      <c r="B51" s="169"/>
      <c r="C51" s="749"/>
      <c r="D51" s="746"/>
      <c r="E51" s="734"/>
      <c r="F51" s="734"/>
      <c r="G51" s="734"/>
      <c r="H51" s="734"/>
      <c r="I51" s="258">
        <f t="shared" si="11"/>
        <v>0</v>
      </c>
      <c r="J51" s="576" t="str">
        <f t="shared" si="12"/>
        <v/>
      </c>
      <c r="K51" s="736"/>
    </row>
    <row r="52" spans="1:11" ht="12.75" customHeight="1" x14ac:dyDescent="0.25">
      <c r="A52" s="575" t="s">
        <v>1232</v>
      </c>
      <c r="B52" s="169"/>
      <c r="C52" s="749"/>
      <c r="D52" s="746"/>
      <c r="E52" s="734"/>
      <c r="F52" s="734"/>
      <c r="G52" s="734"/>
      <c r="H52" s="734"/>
      <c r="I52" s="258">
        <f t="shared" si="11"/>
        <v>0</v>
      </c>
      <c r="J52" s="576" t="str">
        <f t="shared" si="1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1269</v>
      </c>
      <c r="B54" s="169"/>
      <c r="C54" s="749"/>
      <c r="D54" s="746"/>
      <c r="E54" s="734"/>
      <c r="F54" s="734"/>
      <c r="G54" s="734"/>
      <c r="H54" s="734"/>
      <c r="I54" s="258">
        <f t="shared" si="11"/>
        <v>0</v>
      </c>
      <c r="J54" s="576" t="str">
        <f t="shared" si="12"/>
        <v/>
      </c>
      <c r="K54" s="736"/>
    </row>
    <row r="55" spans="1:11" ht="12.75" customHeight="1" x14ac:dyDescent="0.25">
      <c r="A55" s="575" t="s">
        <v>1270</v>
      </c>
      <c r="B55" s="169"/>
      <c r="C55" s="749"/>
      <c r="D55" s="746"/>
      <c r="E55" s="734"/>
      <c r="F55" s="734"/>
      <c r="G55" s="734"/>
      <c r="H55" s="734"/>
      <c r="I55" s="258">
        <f t="shared" si="11"/>
        <v>0</v>
      </c>
      <c r="J55" s="576" t="str">
        <f t="shared" si="12"/>
        <v/>
      </c>
      <c r="K55" s="736"/>
    </row>
    <row r="56" spans="1:11" ht="12.75" customHeight="1" x14ac:dyDescent="0.25">
      <c r="A56" s="575" t="s">
        <v>1271</v>
      </c>
      <c r="B56" s="169"/>
      <c r="C56" s="749"/>
      <c r="D56" s="746"/>
      <c r="E56" s="734"/>
      <c r="F56" s="734"/>
      <c r="G56" s="734"/>
      <c r="H56" s="734"/>
      <c r="I56" s="258">
        <f t="shared" si="11"/>
        <v>0</v>
      </c>
      <c r="J56" s="576" t="str">
        <f t="shared" si="12"/>
        <v/>
      </c>
      <c r="K56" s="736"/>
    </row>
    <row r="57" spans="1:11" ht="12.75" customHeight="1" x14ac:dyDescent="0.25">
      <c r="A57" s="575" t="s">
        <v>1234</v>
      </c>
      <c r="B57" s="169"/>
      <c r="C57" s="749"/>
      <c r="D57" s="746"/>
      <c r="E57" s="734"/>
      <c r="F57" s="734"/>
      <c r="G57" s="734"/>
      <c r="H57" s="734"/>
      <c r="I57" s="258">
        <f t="shared" si="11"/>
        <v>0</v>
      </c>
      <c r="J57" s="576" t="str">
        <f t="shared" si="12"/>
        <v/>
      </c>
      <c r="K57" s="736"/>
    </row>
    <row r="58" spans="1:11" ht="12.75" customHeight="1" x14ac:dyDescent="0.25">
      <c r="A58" s="575" t="s">
        <v>1235</v>
      </c>
      <c r="B58" s="169"/>
      <c r="C58" s="749"/>
      <c r="D58" s="746"/>
      <c r="E58" s="734"/>
      <c r="F58" s="734"/>
      <c r="G58" s="734"/>
      <c r="H58" s="734"/>
      <c r="I58" s="258">
        <f t="shared" si="11"/>
        <v>0</v>
      </c>
      <c r="J58" s="576" t="str">
        <f t="shared" si="12"/>
        <v/>
      </c>
      <c r="K58" s="736"/>
    </row>
    <row r="59" spans="1:11" ht="12.75" customHeight="1" x14ac:dyDescent="0.25">
      <c r="A59" s="575" t="s">
        <v>1236</v>
      </c>
      <c r="B59" s="169"/>
      <c r="C59" s="749"/>
      <c r="D59" s="746"/>
      <c r="E59" s="734"/>
      <c r="F59" s="734"/>
      <c r="G59" s="734"/>
      <c r="H59" s="734"/>
      <c r="I59" s="258">
        <f t="shared" si="11"/>
        <v>0</v>
      </c>
      <c r="J59" s="576" t="str">
        <f t="shared" si="12"/>
        <v/>
      </c>
      <c r="K59" s="736"/>
    </row>
    <row r="60" spans="1:11" ht="12.75" customHeight="1" x14ac:dyDescent="0.25">
      <c r="A60" s="575" t="s">
        <v>1242</v>
      </c>
      <c r="B60" s="169"/>
      <c r="C60" s="749"/>
      <c r="D60" s="746"/>
      <c r="E60" s="734"/>
      <c r="F60" s="734"/>
      <c r="G60" s="734"/>
      <c r="H60" s="734"/>
      <c r="I60" s="258">
        <f t="shared" si="11"/>
        <v>0</v>
      </c>
      <c r="J60" s="576" t="str">
        <f t="shared" si="12"/>
        <v/>
      </c>
      <c r="K60" s="736"/>
    </row>
    <row r="61" spans="1:11" ht="12.75" customHeight="1" x14ac:dyDescent="0.25">
      <c r="A61" s="575" t="s">
        <v>1245</v>
      </c>
      <c r="B61" s="169"/>
      <c r="C61" s="749"/>
      <c r="D61" s="746"/>
      <c r="E61" s="734"/>
      <c r="F61" s="734"/>
      <c r="G61" s="734"/>
      <c r="H61" s="734"/>
      <c r="I61" s="258">
        <f t="shared" si="11"/>
        <v>0</v>
      </c>
      <c r="J61" s="576" t="str">
        <f t="shared" si="12"/>
        <v/>
      </c>
      <c r="K61" s="736"/>
    </row>
    <row r="62" spans="1:11" ht="12.75" customHeight="1" x14ac:dyDescent="0.25">
      <c r="A62" s="575" t="s">
        <v>1232</v>
      </c>
      <c r="B62" s="169"/>
      <c r="C62" s="749"/>
      <c r="D62" s="746"/>
      <c r="E62" s="734"/>
      <c r="F62" s="734"/>
      <c r="G62" s="734"/>
      <c r="H62" s="734"/>
      <c r="I62" s="258">
        <f t="shared" si="11"/>
        <v>0</v>
      </c>
      <c r="J62" s="576" t="str">
        <f t="shared" si="1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1273</v>
      </c>
      <c r="B64" s="169"/>
      <c r="C64" s="749"/>
      <c r="D64" s="746"/>
      <c r="E64" s="734"/>
      <c r="F64" s="734"/>
      <c r="G64" s="734"/>
      <c r="H64" s="734"/>
      <c r="I64" s="258">
        <f t="shared" si="11"/>
        <v>0</v>
      </c>
      <c r="J64" s="576" t="str">
        <f t="shared" si="12"/>
        <v/>
      </c>
      <c r="K64" s="736"/>
    </row>
    <row r="65" spans="1:11" ht="12.75" customHeight="1" x14ac:dyDescent="0.25">
      <c r="A65" s="575" t="s">
        <v>1274</v>
      </c>
      <c r="B65" s="169"/>
      <c r="C65" s="749"/>
      <c r="D65" s="746"/>
      <c r="E65" s="734"/>
      <c r="F65" s="734"/>
      <c r="G65" s="734"/>
      <c r="H65" s="734"/>
      <c r="I65" s="258">
        <f t="shared" si="11"/>
        <v>0</v>
      </c>
      <c r="J65" s="576" t="str">
        <f t="shared" si="12"/>
        <v/>
      </c>
      <c r="K65" s="736"/>
    </row>
    <row r="66" spans="1:11" ht="12.75" customHeight="1" x14ac:dyDescent="0.25">
      <c r="A66" s="575" t="s">
        <v>1275</v>
      </c>
      <c r="B66" s="169"/>
      <c r="C66" s="749"/>
      <c r="D66" s="746"/>
      <c r="E66" s="734"/>
      <c r="F66" s="734"/>
      <c r="G66" s="734"/>
      <c r="H66" s="734"/>
      <c r="I66" s="258">
        <f t="shared" si="11"/>
        <v>0</v>
      </c>
      <c r="J66" s="576" t="str">
        <f t="shared" si="12"/>
        <v/>
      </c>
      <c r="K66" s="736"/>
    </row>
    <row r="67" spans="1:11" ht="12.75" customHeight="1" x14ac:dyDescent="0.25">
      <c r="A67" s="575" t="s">
        <v>1276</v>
      </c>
      <c r="B67" s="169"/>
      <c r="C67" s="749"/>
      <c r="D67" s="746"/>
      <c r="E67" s="734"/>
      <c r="F67" s="734"/>
      <c r="G67" s="734"/>
      <c r="H67" s="734"/>
      <c r="I67" s="258">
        <f t="shared" si="11"/>
        <v>0</v>
      </c>
      <c r="J67" s="576" t="str">
        <f t="shared" si="12"/>
        <v/>
      </c>
      <c r="K67" s="736"/>
    </row>
    <row r="68" spans="1:11" ht="12.75" customHeight="1" x14ac:dyDescent="0.25">
      <c r="A68" s="575" t="s">
        <v>1232</v>
      </c>
      <c r="B68" s="169"/>
      <c r="C68" s="749"/>
      <c r="D68" s="746"/>
      <c r="E68" s="734"/>
      <c r="F68" s="734"/>
      <c r="G68" s="734"/>
      <c r="H68" s="734"/>
      <c r="I68" s="258">
        <f t="shared" si="11"/>
        <v>0</v>
      </c>
      <c r="J68" s="576" t="str">
        <f t="shared" si="1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1278</v>
      </c>
      <c r="B70" s="169"/>
      <c r="C70" s="749"/>
      <c r="D70" s="746"/>
      <c r="E70" s="734"/>
      <c r="F70" s="734"/>
      <c r="G70" s="734"/>
      <c r="H70" s="734"/>
      <c r="I70" s="258">
        <f>H70-G70</f>
        <v>0</v>
      </c>
      <c r="J70" s="576" t="str">
        <f t="shared" si="16"/>
        <v/>
      </c>
      <c r="K70" s="736"/>
    </row>
    <row r="71" spans="1:11" ht="12.75" customHeight="1" x14ac:dyDescent="0.25">
      <c r="A71" s="575" t="s">
        <v>1279</v>
      </c>
      <c r="B71" s="169"/>
      <c r="C71" s="749"/>
      <c r="D71" s="746"/>
      <c r="E71" s="734"/>
      <c r="F71" s="734"/>
      <c r="G71" s="734"/>
      <c r="H71" s="734"/>
      <c r="I71" s="258">
        <f>H71-G71</f>
        <v>0</v>
      </c>
      <c r="J71" s="576" t="str">
        <f t="shared" si="16"/>
        <v/>
      </c>
      <c r="K71" s="736"/>
    </row>
    <row r="72" spans="1:11" ht="12.75" customHeight="1" x14ac:dyDescent="0.25">
      <c r="A72" s="575" t="s">
        <v>1280</v>
      </c>
      <c r="B72" s="169"/>
      <c r="C72" s="749"/>
      <c r="D72" s="746"/>
      <c r="E72" s="734"/>
      <c r="F72" s="734"/>
      <c r="G72" s="734"/>
      <c r="H72" s="734"/>
      <c r="I72" s="258">
        <f>H72-G72</f>
        <v>0</v>
      </c>
      <c r="J72" s="576" t="str">
        <f t="shared" si="16"/>
        <v/>
      </c>
      <c r="K72" s="736"/>
    </row>
    <row r="73" spans="1:11" ht="12.75" customHeight="1" x14ac:dyDescent="0.25">
      <c r="A73" s="575" t="s">
        <v>1232</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1301</v>
      </c>
      <c r="B75" s="169"/>
      <c r="C75" s="577">
        <f t="shared" ref="C75:H75" si="17">+C76+C99</f>
        <v>0</v>
      </c>
      <c r="D75" s="578">
        <f t="shared" si="17"/>
        <v>10274656</v>
      </c>
      <c r="E75" s="579">
        <f t="shared" si="17"/>
        <v>10749840</v>
      </c>
      <c r="F75" s="579">
        <f t="shared" si="17"/>
        <v>0</v>
      </c>
      <c r="G75" s="579">
        <f t="shared" si="17"/>
        <v>0</v>
      </c>
      <c r="H75" s="579">
        <f t="shared" si="17"/>
        <v>10749840</v>
      </c>
      <c r="I75" s="579">
        <f>H75-G75</f>
        <v>10749840</v>
      </c>
      <c r="J75" s="580">
        <f t="shared" si="16"/>
        <v>1</v>
      </c>
      <c r="K75" s="581">
        <f>+K76+K99</f>
        <v>10749840</v>
      </c>
    </row>
    <row r="76" spans="1:11" ht="12.75" customHeight="1" x14ac:dyDescent="0.25">
      <c r="A76" s="518" t="s">
        <v>1281</v>
      </c>
      <c r="B76" s="169"/>
      <c r="C76" s="649">
        <f t="shared" ref="C76:H76" si="18">SUM(C77:C98)</f>
        <v>0</v>
      </c>
      <c r="D76" s="650">
        <f t="shared" si="18"/>
        <v>10274656</v>
      </c>
      <c r="E76" s="408">
        <f t="shared" si="18"/>
        <v>10749840</v>
      </c>
      <c r="F76" s="408">
        <f t="shared" si="18"/>
        <v>0</v>
      </c>
      <c r="G76" s="408">
        <f t="shared" si="18"/>
        <v>0</v>
      </c>
      <c r="H76" s="408">
        <f t="shared" si="18"/>
        <v>10749840</v>
      </c>
      <c r="I76" s="258">
        <f t="shared" ref="I76:I87" si="19">H76-G76</f>
        <v>10749840</v>
      </c>
      <c r="J76" s="576">
        <f t="shared" ref="J76:J87" si="20">IF(I76=0,"",I76/H76)</f>
        <v>1</v>
      </c>
      <c r="K76" s="643">
        <f>SUM(K77:K98)</f>
        <v>10749840</v>
      </c>
    </row>
    <row r="77" spans="1:11" ht="12.75" customHeight="1" x14ac:dyDescent="0.25">
      <c r="A77" s="575" t="s">
        <v>1282</v>
      </c>
      <c r="B77" s="169"/>
      <c r="C77" s="749"/>
      <c r="D77" s="754">
        <v>10016256</v>
      </c>
      <c r="E77" s="734">
        <v>10016256</v>
      </c>
      <c r="F77" s="734"/>
      <c r="G77" s="734"/>
      <c r="H77" s="734">
        <f>E77/12*12</f>
        <v>10016256</v>
      </c>
      <c r="I77" s="44">
        <f t="shared" si="19"/>
        <v>10016256</v>
      </c>
      <c r="J77" s="124">
        <f t="shared" si="20"/>
        <v>1</v>
      </c>
      <c r="K77" s="736">
        <f>E77</f>
        <v>10016256</v>
      </c>
    </row>
    <row r="78" spans="1:11" ht="12.75" customHeight="1" x14ac:dyDescent="0.25">
      <c r="A78" s="575" t="s">
        <v>1283</v>
      </c>
      <c r="B78" s="169"/>
      <c r="C78" s="749"/>
      <c r="D78" s="754"/>
      <c r="E78" s="734"/>
      <c r="F78" s="734"/>
      <c r="G78" s="734"/>
      <c r="H78" s="734"/>
      <c r="I78" s="44">
        <f t="shared" si="19"/>
        <v>0</v>
      </c>
      <c r="J78" s="124" t="str">
        <f t="shared" si="20"/>
        <v/>
      </c>
      <c r="K78" s="736"/>
    </row>
    <row r="79" spans="1:11" ht="12.75" customHeight="1" x14ac:dyDescent="0.25">
      <c r="A79" s="575" t="s">
        <v>1284</v>
      </c>
      <c r="B79" s="169"/>
      <c r="C79" s="749"/>
      <c r="D79" s="754"/>
      <c r="E79" s="734"/>
      <c r="F79" s="734"/>
      <c r="G79" s="734"/>
      <c r="H79" s="734"/>
      <c r="I79" s="44">
        <f t="shared" si="19"/>
        <v>0</v>
      </c>
      <c r="J79" s="124" t="str">
        <f t="shared" si="20"/>
        <v/>
      </c>
      <c r="K79" s="736"/>
    </row>
    <row r="80" spans="1:11" ht="12.75" customHeight="1" x14ac:dyDescent="0.25">
      <c r="A80" s="575" t="s">
        <v>1285</v>
      </c>
      <c r="B80" s="169"/>
      <c r="C80" s="749"/>
      <c r="D80" s="754"/>
      <c r="E80" s="734"/>
      <c r="F80" s="734"/>
      <c r="G80" s="734"/>
      <c r="H80" s="734"/>
      <c r="I80" s="44">
        <f t="shared" si="19"/>
        <v>0</v>
      </c>
      <c r="J80" s="124" t="str">
        <f t="shared" si="20"/>
        <v/>
      </c>
      <c r="K80" s="736"/>
    </row>
    <row r="81" spans="1:11" ht="12.75" customHeight="1" x14ac:dyDescent="0.25">
      <c r="A81" s="575" t="s">
        <v>1286</v>
      </c>
      <c r="B81" s="169"/>
      <c r="C81" s="749"/>
      <c r="D81" s="754"/>
      <c r="E81" s="734"/>
      <c r="F81" s="734"/>
      <c r="G81" s="734"/>
      <c r="H81" s="734"/>
      <c r="I81" s="44">
        <f t="shared" si="19"/>
        <v>0</v>
      </c>
      <c r="J81" s="124" t="str">
        <f t="shared" si="20"/>
        <v/>
      </c>
      <c r="K81" s="736"/>
    </row>
    <row r="82" spans="1:11" ht="12.75" customHeight="1" x14ac:dyDescent="0.25">
      <c r="A82" s="575" t="s">
        <v>1287</v>
      </c>
      <c r="B82" s="169"/>
      <c r="C82" s="749"/>
      <c r="D82" s="754"/>
      <c r="E82" s="734"/>
      <c r="F82" s="734"/>
      <c r="G82" s="734"/>
      <c r="H82" s="734"/>
      <c r="I82" s="44">
        <f t="shared" si="19"/>
        <v>0</v>
      </c>
      <c r="J82" s="124" t="str">
        <f t="shared" si="20"/>
        <v/>
      </c>
      <c r="K82" s="736"/>
    </row>
    <row r="83" spans="1:11" ht="12.75" customHeight="1" x14ac:dyDescent="0.25">
      <c r="A83" s="575" t="s">
        <v>1288</v>
      </c>
      <c r="B83" s="169"/>
      <c r="C83" s="749"/>
      <c r="D83" s="754"/>
      <c r="E83" s="734"/>
      <c r="F83" s="734"/>
      <c r="G83" s="734"/>
      <c r="H83" s="734"/>
      <c r="I83" s="44">
        <f t="shared" si="19"/>
        <v>0</v>
      </c>
      <c r="J83" s="124" t="str">
        <f t="shared" si="20"/>
        <v/>
      </c>
      <c r="K83" s="736"/>
    </row>
    <row r="84" spans="1:11" ht="12.75" customHeight="1" x14ac:dyDescent="0.25">
      <c r="A84" s="575" t="s">
        <v>1289</v>
      </c>
      <c r="B84" s="169"/>
      <c r="C84" s="749"/>
      <c r="D84" s="754"/>
      <c r="E84" s="734">
        <v>475184</v>
      </c>
      <c r="F84" s="734"/>
      <c r="G84" s="734"/>
      <c r="H84" s="734">
        <f>E84/12*12</f>
        <v>475184</v>
      </c>
      <c r="I84" s="44">
        <f t="shared" si="19"/>
        <v>475184</v>
      </c>
      <c r="J84" s="124">
        <f t="shared" si="20"/>
        <v>1</v>
      </c>
      <c r="K84" s="736">
        <f>E84</f>
        <v>475184</v>
      </c>
    </row>
    <row r="85" spans="1:11" ht="12.75" customHeight="1" x14ac:dyDescent="0.25">
      <c r="A85" s="575" t="s">
        <v>1165</v>
      </c>
      <c r="B85" s="169"/>
      <c r="C85" s="749"/>
      <c r="D85" s="754"/>
      <c r="E85" s="734"/>
      <c r="F85" s="734"/>
      <c r="G85" s="734"/>
      <c r="H85" s="734"/>
      <c r="I85" s="44">
        <f t="shared" si="19"/>
        <v>0</v>
      </c>
      <c r="J85" s="124" t="str">
        <f t="shared" si="20"/>
        <v/>
      </c>
      <c r="K85" s="736"/>
    </row>
    <row r="86" spans="1:11" ht="12.75" customHeight="1" x14ac:dyDescent="0.25">
      <c r="A86" s="575" t="s">
        <v>560</v>
      </c>
      <c r="B86" s="169"/>
      <c r="C86" s="749"/>
      <c r="D86" s="754"/>
      <c r="E86" s="734"/>
      <c r="F86" s="734"/>
      <c r="G86" s="734"/>
      <c r="H86" s="734"/>
      <c r="I86" s="44">
        <f t="shared" si="19"/>
        <v>0</v>
      </c>
      <c r="J86" s="124" t="str">
        <f t="shared" si="20"/>
        <v/>
      </c>
      <c r="K86" s="736"/>
    </row>
    <row r="87" spans="1:11" ht="12.75" customHeight="1" x14ac:dyDescent="0.25">
      <c r="A87" s="575" t="s">
        <v>1290</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v>258400</v>
      </c>
      <c r="E88" s="734">
        <v>258400</v>
      </c>
      <c r="F88" s="734"/>
      <c r="G88" s="734"/>
      <c r="H88" s="734">
        <f>E88/12*12</f>
        <v>258400</v>
      </c>
      <c r="I88" s="44">
        <f t="shared" ref="I88:I133" si="21">H88-G88</f>
        <v>258400</v>
      </c>
      <c r="J88" s="124">
        <f t="shared" ref="J88:J119" si="22">IF(I88=0,"",I88/H88)</f>
        <v>1</v>
      </c>
      <c r="K88" s="736">
        <f>E88</f>
        <v>258400</v>
      </c>
    </row>
    <row r="89" spans="1:11" ht="12.75" customHeight="1" x14ac:dyDescent="0.25">
      <c r="A89" s="575" t="s">
        <v>1291</v>
      </c>
      <c r="B89" s="169"/>
      <c r="C89" s="749"/>
      <c r="D89" s="754"/>
      <c r="E89" s="734"/>
      <c r="F89" s="734"/>
      <c r="G89" s="734"/>
      <c r="H89" s="734"/>
      <c r="I89" s="44">
        <f t="shared" si="21"/>
        <v>0</v>
      </c>
      <c r="J89" s="124" t="str">
        <f t="shared" si="22"/>
        <v/>
      </c>
      <c r="K89" s="736"/>
    </row>
    <row r="90" spans="1:11" ht="12.75" customHeight="1" x14ac:dyDescent="0.25">
      <c r="A90" s="575" t="s">
        <v>1292</v>
      </c>
      <c r="B90" s="169"/>
      <c r="C90" s="749"/>
      <c r="D90" s="754"/>
      <c r="E90" s="734"/>
      <c r="F90" s="734"/>
      <c r="G90" s="734"/>
      <c r="H90" s="734"/>
      <c r="I90" s="44">
        <f t="shared" si="21"/>
        <v>0</v>
      </c>
      <c r="J90" s="124" t="str">
        <f t="shared" si="22"/>
        <v/>
      </c>
      <c r="K90" s="736"/>
    </row>
    <row r="91" spans="1:11" ht="12.75" customHeight="1" x14ac:dyDescent="0.25">
      <c r="A91" s="575" t="s">
        <v>1293</v>
      </c>
      <c r="B91" s="169"/>
      <c r="C91" s="749"/>
      <c r="D91" s="754"/>
      <c r="E91" s="734"/>
      <c r="F91" s="734"/>
      <c r="G91" s="734"/>
      <c r="H91" s="734"/>
      <c r="I91" s="44">
        <f t="shared" si="21"/>
        <v>0</v>
      </c>
      <c r="J91" s="124" t="str">
        <f t="shared" si="22"/>
        <v/>
      </c>
      <c r="K91" s="736"/>
    </row>
    <row r="92" spans="1:11" ht="12.75" customHeight="1" x14ac:dyDescent="0.25">
      <c r="A92" s="575" t="s">
        <v>1294</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1295</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1296</v>
      </c>
      <c r="B96" s="169"/>
      <c r="C96" s="749"/>
      <c r="D96" s="754"/>
      <c r="E96" s="734"/>
      <c r="F96" s="734"/>
      <c r="G96" s="734"/>
      <c r="H96" s="734"/>
      <c r="I96" s="44">
        <f t="shared" si="21"/>
        <v>0</v>
      </c>
      <c r="J96" s="124" t="str">
        <f t="shared" si="22"/>
        <v/>
      </c>
      <c r="K96" s="736"/>
    </row>
    <row r="97" spans="1:11" ht="12.75" customHeight="1" x14ac:dyDescent="0.25">
      <c r="A97" s="575" t="s">
        <v>1297</v>
      </c>
      <c r="B97" s="169"/>
      <c r="C97" s="749"/>
      <c r="D97" s="754"/>
      <c r="E97" s="734"/>
      <c r="F97" s="734"/>
      <c r="G97" s="734"/>
      <c r="H97" s="734"/>
      <c r="I97" s="44">
        <f t="shared" si="21"/>
        <v>0</v>
      </c>
      <c r="J97" s="124" t="str">
        <f t="shared" si="22"/>
        <v/>
      </c>
      <c r="K97" s="736"/>
    </row>
    <row r="98" spans="1:11" ht="12.75" customHeight="1" x14ac:dyDescent="0.25">
      <c r="A98" s="575" t="s">
        <v>1232</v>
      </c>
      <c r="B98" s="169"/>
      <c r="C98" s="749"/>
      <c r="D98" s="754"/>
      <c r="E98" s="734"/>
      <c r="F98" s="734"/>
      <c r="G98" s="734"/>
      <c r="H98" s="734"/>
      <c r="I98" s="44">
        <f t="shared" si="21"/>
        <v>0</v>
      </c>
      <c r="J98" s="124" t="str">
        <f t="shared" si="22"/>
        <v/>
      </c>
      <c r="K98" s="736"/>
    </row>
    <row r="99" spans="1:11" ht="12.75" customHeight="1" x14ac:dyDescent="0.25">
      <c r="A99" s="518" t="s">
        <v>1298</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1299</v>
      </c>
      <c r="B100" s="169"/>
      <c r="C100" s="749"/>
      <c r="D100" s="754"/>
      <c r="E100" s="734"/>
      <c r="F100" s="734"/>
      <c r="G100" s="734"/>
      <c r="H100" s="734"/>
      <c r="I100" s="44">
        <f t="shared" si="21"/>
        <v>0</v>
      </c>
      <c r="J100" s="124" t="str">
        <f t="shared" si="22"/>
        <v/>
      </c>
      <c r="K100" s="736"/>
    </row>
    <row r="101" spans="1:11" ht="12.75" customHeight="1" x14ac:dyDescent="0.25">
      <c r="A101" s="575" t="s">
        <v>1300</v>
      </c>
      <c r="B101" s="169"/>
      <c r="C101" s="749"/>
      <c r="D101" s="754"/>
      <c r="E101" s="734"/>
      <c r="F101" s="734"/>
      <c r="G101" s="734"/>
      <c r="H101" s="734"/>
      <c r="I101" s="44">
        <f t="shared" si="21"/>
        <v>0</v>
      </c>
      <c r="J101" s="124" t="str">
        <f t="shared" si="22"/>
        <v/>
      </c>
      <c r="K101" s="736"/>
    </row>
    <row r="102" spans="1:11" ht="12.75" customHeight="1" x14ac:dyDescent="0.25">
      <c r="A102" s="575" t="s">
        <v>1232</v>
      </c>
      <c r="B102" s="169"/>
      <c r="C102" s="749"/>
      <c r="D102" s="754"/>
      <c r="E102" s="734"/>
      <c r="F102" s="734"/>
      <c r="G102" s="734"/>
      <c r="H102" s="734"/>
      <c r="I102" s="44">
        <f t="shared" si="21"/>
        <v>0</v>
      </c>
      <c r="J102" s="124" t="str">
        <f t="shared" si="22"/>
        <v/>
      </c>
      <c r="K102" s="736"/>
    </row>
    <row r="103" spans="1:11" ht="12.75" customHeight="1" x14ac:dyDescent="0.25">
      <c r="A103" s="550" t="s">
        <v>677</v>
      </c>
      <c r="B103" s="169"/>
      <c r="C103" s="249">
        <f t="shared" ref="C103:H103" si="24">SUM(C104:C108)</f>
        <v>0</v>
      </c>
      <c r="D103" s="264">
        <f t="shared" si="24"/>
        <v>11884000</v>
      </c>
      <c r="E103" s="99">
        <f t="shared" si="24"/>
        <v>11884000</v>
      </c>
      <c r="F103" s="99">
        <f t="shared" si="24"/>
        <v>6295086.5899999999</v>
      </c>
      <c r="G103" s="99">
        <f t="shared" si="24"/>
        <v>9604587.4499999993</v>
      </c>
      <c r="H103" s="99">
        <f t="shared" si="24"/>
        <v>11884000</v>
      </c>
      <c r="I103" s="99">
        <f t="shared" si="21"/>
        <v>2279412.5500000007</v>
      </c>
      <c r="J103" s="324">
        <f t="shared" si="22"/>
        <v>0.19180516240323131</v>
      </c>
      <c r="K103" s="195">
        <f>SUM(K104:K108)</f>
        <v>11884000</v>
      </c>
    </row>
    <row r="104" spans="1:11" ht="12.75" customHeight="1" x14ac:dyDescent="0.25">
      <c r="A104" s="518" t="s">
        <v>1302</v>
      </c>
      <c r="B104" s="169"/>
      <c r="C104" s="787"/>
      <c r="D104" s="754"/>
      <c r="E104" s="734"/>
      <c r="F104" s="734"/>
      <c r="G104" s="734"/>
      <c r="H104" s="734"/>
      <c r="I104" s="44">
        <f t="shared" si="21"/>
        <v>0</v>
      </c>
      <c r="J104" s="124" t="str">
        <f t="shared" si="22"/>
        <v/>
      </c>
      <c r="K104" s="736"/>
    </row>
    <row r="105" spans="1:11" ht="12.75" customHeight="1" x14ac:dyDescent="0.25">
      <c r="A105" s="517" t="s">
        <v>1303</v>
      </c>
      <c r="B105" s="169"/>
      <c r="C105" s="787"/>
      <c r="D105" s="754"/>
      <c r="E105" s="734"/>
      <c r="F105" s="734"/>
      <c r="G105" s="734"/>
      <c r="H105" s="734"/>
      <c r="I105" s="44">
        <f t="shared" si="21"/>
        <v>0</v>
      </c>
      <c r="J105" s="124" t="str">
        <f t="shared" si="22"/>
        <v/>
      </c>
      <c r="K105" s="736"/>
    </row>
    <row r="106" spans="1:11" ht="12.75" customHeight="1" x14ac:dyDescent="0.25">
      <c r="A106" s="518" t="s">
        <v>1304</v>
      </c>
      <c r="B106" s="169"/>
      <c r="C106" s="787"/>
      <c r="D106" s="754"/>
      <c r="E106" s="734"/>
      <c r="F106" s="734"/>
      <c r="G106" s="734"/>
      <c r="H106" s="734"/>
      <c r="I106" s="44">
        <f t="shared" si="21"/>
        <v>0</v>
      </c>
      <c r="J106" s="124" t="str">
        <f t="shared" si="22"/>
        <v/>
      </c>
      <c r="K106" s="736"/>
    </row>
    <row r="107" spans="1:11" ht="12.75" customHeight="1" x14ac:dyDescent="0.25">
      <c r="A107" s="518" t="s">
        <v>1305</v>
      </c>
      <c r="B107" s="169"/>
      <c r="C107" s="787"/>
      <c r="D107" s="754"/>
      <c r="E107" s="734"/>
      <c r="F107" s="734"/>
      <c r="G107" s="734"/>
      <c r="H107" s="734"/>
      <c r="I107" s="44">
        <f t="shared" si="21"/>
        <v>0</v>
      </c>
      <c r="J107" s="124" t="str">
        <f t="shared" si="22"/>
        <v/>
      </c>
      <c r="K107" s="736"/>
    </row>
    <row r="108" spans="1:11" ht="12.75" customHeight="1" x14ac:dyDescent="0.25">
      <c r="A108" s="517" t="s">
        <v>1306</v>
      </c>
      <c r="B108" s="169"/>
      <c r="C108" s="787"/>
      <c r="D108" s="754">
        <v>11884000</v>
      </c>
      <c r="E108" s="734">
        <v>11884000</v>
      </c>
      <c r="F108" s="734">
        <v>6295086.5899999999</v>
      </c>
      <c r="G108" s="734">
        <v>9604587.4499999993</v>
      </c>
      <c r="H108" s="734">
        <f>E108/12*12</f>
        <v>11884000</v>
      </c>
      <c r="I108" s="44">
        <f t="shared" si="21"/>
        <v>2279412.5500000007</v>
      </c>
      <c r="J108" s="124">
        <f t="shared" si="22"/>
        <v>0.19180516240323131</v>
      </c>
      <c r="K108" s="736">
        <f>E108</f>
        <v>11884000</v>
      </c>
    </row>
    <row r="109" spans="1:11" ht="5.0999999999999996" customHeight="1" x14ac:dyDescent="0.25">
      <c r="A109" s="939"/>
      <c r="B109" s="169"/>
      <c r="C109" s="134"/>
      <c r="D109" s="258"/>
      <c r="E109" s="44"/>
      <c r="F109" s="44"/>
      <c r="G109" s="44"/>
      <c r="H109" s="44"/>
      <c r="I109" s="44">
        <f t="shared" si="21"/>
        <v>0</v>
      </c>
      <c r="J109" s="124" t="str">
        <f t="shared" si="22"/>
        <v/>
      </c>
      <c r="K109" s="144"/>
    </row>
    <row r="110" spans="1:11" ht="12.75" customHeight="1" x14ac:dyDescent="0.25">
      <c r="A110" s="940"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1307</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1308</v>
      </c>
      <c r="B112" s="169"/>
      <c r="C112" s="749"/>
      <c r="D112" s="754"/>
      <c r="E112" s="734"/>
      <c r="F112" s="734"/>
      <c r="G112" s="734"/>
      <c r="H112" s="734"/>
      <c r="I112" s="44">
        <f t="shared" si="21"/>
        <v>0</v>
      </c>
      <c r="J112" s="124" t="str">
        <f t="shared" si="22"/>
        <v/>
      </c>
      <c r="K112" s="736"/>
    </row>
    <row r="113" spans="1:11" ht="12.75" customHeight="1" x14ac:dyDescent="0.25">
      <c r="A113" s="575" t="s">
        <v>1309</v>
      </c>
      <c r="B113" s="169"/>
      <c r="C113" s="749"/>
      <c r="D113" s="754"/>
      <c r="E113" s="734"/>
      <c r="F113" s="734"/>
      <c r="G113" s="734"/>
      <c r="H113" s="734"/>
      <c r="I113" s="44">
        <f t="shared" si="21"/>
        <v>0</v>
      </c>
      <c r="J113" s="124" t="str">
        <f t="shared" si="22"/>
        <v/>
      </c>
      <c r="K113" s="736"/>
    </row>
    <row r="114" spans="1:11" ht="12.75" customHeight="1" x14ac:dyDescent="0.25">
      <c r="A114" s="518" t="s">
        <v>1310</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1308</v>
      </c>
      <c r="B115" s="169"/>
      <c r="C115" s="749"/>
      <c r="D115" s="754"/>
      <c r="E115" s="734"/>
      <c r="F115" s="734"/>
      <c r="G115" s="734"/>
      <c r="H115" s="734"/>
      <c r="I115" s="44">
        <f t="shared" si="21"/>
        <v>0</v>
      </c>
      <c r="J115" s="124" t="str">
        <f t="shared" si="22"/>
        <v/>
      </c>
      <c r="K115" s="736"/>
    </row>
    <row r="116" spans="1:11" ht="12.75" customHeight="1" x14ac:dyDescent="0.25">
      <c r="A116" s="575" t="s">
        <v>1309</v>
      </c>
      <c r="B116" s="169"/>
      <c r="C116" s="749"/>
      <c r="D116" s="754"/>
      <c r="E116" s="734"/>
      <c r="F116" s="734"/>
      <c r="G116" s="734"/>
      <c r="H116" s="734"/>
      <c r="I116" s="44">
        <f t="shared" si="21"/>
        <v>0</v>
      </c>
      <c r="J116" s="124" t="str">
        <f t="shared" si="22"/>
        <v/>
      </c>
      <c r="K116" s="736"/>
    </row>
    <row r="117" spans="1:11" ht="12.75" customHeight="1" x14ac:dyDescent="0.25">
      <c r="A117" s="940"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1311</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1312</v>
      </c>
      <c r="B119" s="169"/>
      <c r="C119" s="749"/>
      <c r="D119" s="754"/>
      <c r="E119" s="734"/>
      <c r="F119" s="734"/>
      <c r="G119" s="734"/>
      <c r="H119" s="734"/>
      <c r="I119" s="44">
        <f t="shared" si="21"/>
        <v>0</v>
      </c>
      <c r="J119" s="124" t="str">
        <f t="shared" si="22"/>
        <v/>
      </c>
      <c r="K119" s="736"/>
    </row>
    <row r="120" spans="1:11" ht="12.75" customHeight="1" x14ac:dyDescent="0.25">
      <c r="A120" s="575" t="s">
        <v>1313</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1314</v>
      </c>
      <c r="B121" s="169"/>
      <c r="C121" s="749"/>
      <c r="D121" s="754"/>
      <c r="E121" s="734"/>
      <c r="F121" s="734"/>
      <c r="G121" s="734"/>
      <c r="H121" s="734"/>
      <c r="I121" s="44">
        <f t="shared" si="21"/>
        <v>0</v>
      </c>
      <c r="J121" s="124" t="str">
        <f t="shared" si="30"/>
        <v/>
      </c>
      <c r="K121" s="736"/>
    </row>
    <row r="122" spans="1:11" ht="12.75" customHeight="1" x14ac:dyDescent="0.25">
      <c r="A122" s="575" t="s">
        <v>1315</v>
      </c>
      <c r="B122" s="169"/>
      <c r="C122" s="749"/>
      <c r="D122" s="754"/>
      <c r="E122" s="734"/>
      <c r="F122" s="734"/>
      <c r="G122" s="734"/>
      <c r="H122" s="734"/>
      <c r="I122" s="44">
        <f t="shared" si="21"/>
        <v>0</v>
      </c>
      <c r="J122" s="124" t="str">
        <f t="shared" si="30"/>
        <v/>
      </c>
      <c r="K122" s="736"/>
    </row>
    <row r="123" spans="1:11" ht="12.75" customHeight="1" x14ac:dyDescent="0.25">
      <c r="A123" s="575" t="s">
        <v>1316</v>
      </c>
      <c r="B123" s="169"/>
      <c r="C123" s="749"/>
      <c r="D123" s="754"/>
      <c r="E123" s="734"/>
      <c r="F123" s="734"/>
      <c r="G123" s="734"/>
      <c r="H123" s="734"/>
      <c r="I123" s="44">
        <f t="shared" si="21"/>
        <v>0</v>
      </c>
      <c r="J123" s="124" t="str">
        <f t="shared" si="30"/>
        <v/>
      </c>
      <c r="K123" s="736"/>
    </row>
    <row r="124" spans="1:11" ht="12.75" customHeight="1" x14ac:dyDescent="0.25">
      <c r="A124" s="575" t="s">
        <v>1317</v>
      </c>
      <c r="B124" s="169"/>
      <c r="C124" s="749"/>
      <c r="D124" s="754"/>
      <c r="E124" s="734"/>
      <c r="F124" s="734"/>
      <c r="G124" s="734"/>
      <c r="H124" s="734"/>
      <c r="I124" s="44">
        <f t="shared" si="21"/>
        <v>0</v>
      </c>
      <c r="J124" s="124" t="str">
        <f t="shared" si="30"/>
        <v/>
      </c>
      <c r="K124" s="736"/>
    </row>
    <row r="125" spans="1:11" ht="12.75" customHeight="1" x14ac:dyDescent="0.25">
      <c r="A125" s="575" t="s">
        <v>1318</v>
      </c>
      <c r="B125" s="169"/>
      <c r="C125" s="749"/>
      <c r="D125" s="754"/>
      <c r="E125" s="734"/>
      <c r="F125" s="734"/>
      <c r="G125" s="734"/>
      <c r="H125" s="734"/>
      <c r="I125" s="44">
        <f t="shared" si="21"/>
        <v>0</v>
      </c>
      <c r="J125" s="124" t="str">
        <f t="shared" si="30"/>
        <v/>
      </c>
      <c r="K125" s="736"/>
    </row>
    <row r="126" spans="1:11" ht="12.75" customHeight="1" x14ac:dyDescent="0.25">
      <c r="A126" s="575" t="s">
        <v>1319</v>
      </c>
      <c r="B126" s="169"/>
      <c r="C126" s="749"/>
      <c r="D126" s="754"/>
      <c r="E126" s="734"/>
      <c r="F126" s="734"/>
      <c r="G126" s="734"/>
      <c r="H126" s="734"/>
      <c r="I126" s="44">
        <f t="shared" si="21"/>
        <v>0</v>
      </c>
      <c r="J126" s="124" t="str">
        <f t="shared" si="30"/>
        <v/>
      </c>
      <c r="K126" s="736"/>
    </row>
    <row r="127" spans="1:11" ht="12.75" customHeight="1" x14ac:dyDescent="0.25">
      <c r="A127" s="575" t="s">
        <v>1320</v>
      </c>
      <c r="B127" s="169"/>
      <c r="C127" s="749"/>
      <c r="D127" s="754"/>
      <c r="E127" s="734"/>
      <c r="F127" s="734"/>
      <c r="G127" s="734"/>
      <c r="H127" s="734"/>
      <c r="I127" s="44">
        <f t="shared" si="21"/>
        <v>0</v>
      </c>
      <c r="J127" s="124" t="str">
        <f t="shared" si="30"/>
        <v/>
      </c>
      <c r="K127" s="736"/>
    </row>
    <row r="128" spans="1:11" ht="12.75" customHeight="1" x14ac:dyDescent="0.25">
      <c r="A128" s="575" t="s">
        <v>1321</v>
      </c>
      <c r="B128" s="169"/>
      <c r="C128" s="749"/>
      <c r="D128" s="754"/>
      <c r="E128" s="734"/>
      <c r="F128" s="734"/>
      <c r="G128" s="734"/>
      <c r="H128" s="734"/>
      <c r="I128" s="44">
        <f t="shared" si="21"/>
        <v>0</v>
      </c>
      <c r="J128" s="124" t="str">
        <f t="shared" si="30"/>
        <v/>
      </c>
      <c r="K128" s="736"/>
    </row>
    <row r="129" spans="1:11" ht="12.75" customHeight="1" x14ac:dyDescent="0.25">
      <c r="A129" s="575" t="s">
        <v>1232</v>
      </c>
      <c r="B129" s="169"/>
      <c r="C129" s="749"/>
      <c r="D129" s="754"/>
      <c r="E129" s="734"/>
      <c r="F129" s="734"/>
      <c r="G129" s="734"/>
      <c r="H129" s="734"/>
      <c r="I129" s="44">
        <f t="shared" si="21"/>
        <v>0</v>
      </c>
      <c r="J129" s="124" t="str">
        <f t="shared" si="30"/>
        <v/>
      </c>
      <c r="K129" s="736"/>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1322</v>
      </c>
      <c r="B131" s="169"/>
      <c r="C131" s="749"/>
      <c r="D131" s="754"/>
      <c r="E131" s="734"/>
      <c r="F131" s="734"/>
      <c r="G131" s="734"/>
      <c r="H131" s="734"/>
      <c r="I131" s="44">
        <f t="shared" si="21"/>
        <v>0</v>
      </c>
      <c r="J131" s="124" t="str">
        <f t="shared" si="30"/>
        <v/>
      </c>
      <c r="K131" s="736"/>
    </row>
    <row r="132" spans="1:11" ht="12.75" customHeight="1" x14ac:dyDescent="0.25">
      <c r="A132" s="575" t="s">
        <v>1323</v>
      </c>
      <c r="B132" s="169"/>
      <c r="C132" s="749"/>
      <c r="D132" s="754"/>
      <c r="E132" s="734"/>
      <c r="F132" s="734"/>
      <c r="G132" s="734"/>
      <c r="H132" s="734"/>
      <c r="I132" s="44">
        <f t="shared" si="21"/>
        <v>0</v>
      </c>
      <c r="J132" s="124" t="str">
        <f t="shared" si="30"/>
        <v/>
      </c>
      <c r="K132" s="736"/>
    </row>
    <row r="133" spans="1:11" ht="12.75" customHeight="1" x14ac:dyDescent="0.25">
      <c r="A133" s="575" t="s">
        <v>1232</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1324</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1324</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1325</v>
      </c>
      <c r="B138" s="171"/>
      <c r="C138" s="941">
        <f t="shared" ref="C138:H138" si="33">SUM(C139:C140)</f>
        <v>0</v>
      </c>
      <c r="D138" s="942">
        <f t="shared" si="33"/>
        <v>16200000</v>
      </c>
      <c r="E138" s="943">
        <f t="shared" si="33"/>
        <v>16200000</v>
      </c>
      <c r="F138" s="943">
        <f t="shared" si="33"/>
        <v>0</v>
      </c>
      <c r="G138" s="943">
        <f t="shared" si="33"/>
        <v>0</v>
      </c>
      <c r="H138" s="943">
        <f t="shared" si="33"/>
        <v>16200000</v>
      </c>
      <c r="I138" s="943">
        <f t="shared" ref="I138:I146" si="34">H138-G138</f>
        <v>16200000</v>
      </c>
      <c r="J138" s="324">
        <f t="shared" si="30"/>
        <v>1</v>
      </c>
      <c r="K138" s="944">
        <f>SUM(K139:K140)</f>
        <v>16200000</v>
      </c>
    </row>
    <row r="139" spans="1:11" ht="12.75" customHeight="1" x14ac:dyDescent="0.25">
      <c r="A139" s="517" t="s">
        <v>1326</v>
      </c>
      <c r="B139" s="169"/>
      <c r="C139" s="749"/>
      <c r="D139" s="754"/>
      <c r="E139" s="734"/>
      <c r="F139" s="734"/>
      <c r="G139" s="734"/>
      <c r="H139" s="734"/>
      <c r="I139" s="44">
        <f t="shared" si="34"/>
        <v>0</v>
      </c>
      <c r="J139" s="124" t="str">
        <f t="shared" si="30"/>
        <v/>
      </c>
      <c r="K139" s="736"/>
    </row>
    <row r="140" spans="1:11" ht="12.75" customHeight="1" x14ac:dyDescent="0.25">
      <c r="A140" s="517" t="s">
        <v>1327</v>
      </c>
      <c r="B140" s="169"/>
      <c r="C140" s="649">
        <f t="shared" ref="C140:H140" si="35">SUM(C141:C146)</f>
        <v>0</v>
      </c>
      <c r="D140" s="650">
        <f t="shared" si="35"/>
        <v>16200000</v>
      </c>
      <c r="E140" s="408">
        <f t="shared" si="35"/>
        <v>16200000</v>
      </c>
      <c r="F140" s="408">
        <f t="shared" si="35"/>
        <v>0</v>
      </c>
      <c r="G140" s="408">
        <f t="shared" si="35"/>
        <v>0</v>
      </c>
      <c r="H140" s="408">
        <f t="shared" si="35"/>
        <v>16200000</v>
      </c>
      <c r="I140" s="258">
        <f t="shared" si="34"/>
        <v>16200000</v>
      </c>
      <c r="J140" s="576">
        <f t="shared" si="30"/>
        <v>1</v>
      </c>
      <c r="K140" s="643">
        <f>SUM(K141:K146)</f>
        <v>16200000</v>
      </c>
    </row>
    <row r="141" spans="1:11" ht="12.75" customHeight="1" x14ac:dyDescent="0.25">
      <c r="A141" s="575" t="s">
        <v>1328</v>
      </c>
      <c r="B141" s="169"/>
      <c r="C141" s="749"/>
      <c r="D141" s="754"/>
      <c r="E141" s="734"/>
      <c r="F141" s="734"/>
      <c r="G141" s="734"/>
      <c r="H141" s="734"/>
      <c r="I141" s="44">
        <f t="shared" si="34"/>
        <v>0</v>
      </c>
      <c r="J141" s="124" t="str">
        <f t="shared" si="30"/>
        <v/>
      </c>
      <c r="K141" s="736"/>
    </row>
    <row r="142" spans="1:11" ht="12.75" customHeight="1" x14ac:dyDescent="0.25">
      <c r="A142" s="575" t="s">
        <v>1329</v>
      </c>
      <c r="B142" s="169"/>
      <c r="C142" s="749"/>
      <c r="D142" s="754"/>
      <c r="E142" s="734"/>
      <c r="F142" s="734"/>
      <c r="G142" s="734"/>
      <c r="H142" s="734"/>
      <c r="I142" s="44">
        <f t="shared" si="34"/>
        <v>0</v>
      </c>
      <c r="J142" s="124" t="str">
        <f t="shared" si="30"/>
        <v/>
      </c>
      <c r="K142" s="736"/>
    </row>
    <row r="143" spans="1:11" ht="12.75" customHeight="1" x14ac:dyDescent="0.25">
      <c r="A143" s="575" t="s">
        <v>1330</v>
      </c>
      <c r="B143" s="169"/>
      <c r="C143" s="749"/>
      <c r="D143" s="754"/>
      <c r="E143" s="734"/>
      <c r="F143" s="734"/>
      <c r="G143" s="734"/>
      <c r="H143" s="734"/>
      <c r="I143" s="44">
        <f t="shared" si="34"/>
        <v>0</v>
      </c>
      <c r="J143" s="124" t="str">
        <f t="shared" si="30"/>
        <v/>
      </c>
      <c r="K143" s="736"/>
    </row>
    <row r="144" spans="1:11" ht="12.75" customHeight="1" x14ac:dyDescent="0.25">
      <c r="A144" s="575" t="s">
        <v>1331</v>
      </c>
      <c r="B144" s="169"/>
      <c r="C144" s="749"/>
      <c r="D144" s="754">
        <v>16200000</v>
      </c>
      <c r="E144" s="734">
        <v>16200000</v>
      </c>
      <c r="F144" s="734"/>
      <c r="G144" s="734"/>
      <c r="H144" s="734">
        <f>E144/12*12</f>
        <v>16200000</v>
      </c>
      <c r="I144" s="44">
        <f t="shared" si="34"/>
        <v>16200000</v>
      </c>
      <c r="J144" s="124">
        <f t="shared" si="30"/>
        <v>1</v>
      </c>
      <c r="K144" s="736">
        <f>E144</f>
        <v>16200000</v>
      </c>
    </row>
    <row r="145" spans="1:12" ht="12.75" customHeight="1" x14ac:dyDescent="0.25">
      <c r="A145" s="575" t="s">
        <v>1332</v>
      </c>
      <c r="B145" s="169"/>
      <c r="C145" s="749"/>
      <c r="D145" s="754"/>
      <c r="E145" s="734"/>
      <c r="F145" s="734"/>
      <c r="G145" s="734"/>
      <c r="H145" s="734"/>
      <c r="I145" s="44">
        <f t="shared" si="34"/>
        <v>0</v>
      </c>
      <c r="J145" s="124" t="str">
        <f t="shared" si="30"/>
        <v/>
      </c>
      <c r="K145" s="736"/>
    </row>
    <row r="146" spans="1:12" ht="12.75" customHeight="1" x14ac:dyDescent="0.25">
      <c r="A146" s="575" t="s">
        <v>1333</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10682500</v>
      </c>
      <c r="E148" s="579">
        <f t="shared" si="36"/>
        <v>10682500</v>
      </c>
      <c r="F148" s="579">
        <f t="shared" si="36"/>
        <v>0</v>
      </c>
      <c r="G148" s="579">
        <f t="shared" si="36"/>
        <v>0</v>
      </c>
      <c r="H148" s="579">
        <f t="shared" si="36"/>
        <v>10682500</v>
      </c>
      <c r="I148" s="579">
        <f>H148-G148</f>
        <v>10682500</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E149/12*12</f>
        <v>10682500</v>
      </c>
      <c r="I149" s="44">
        <f>H149-G149</f>
        <v>10682500</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7">SUM(C152:C152)</f>
        <v>0</v>
      </c>
      <c r="D151" s="578">
        <f t="shared" si="37"/>
        <v>9187000</v>
      </c>
      <c r="E151" s="579">
        <f t="shared" si="37"/>
        <v>9187000</v>
      </c>
      <c r="F151" s="579">
        <f t="shared" si="37"/>
        <v>180811.47</v>
      </c>
      <c r="G151" s="579">
        <f t="shared" si="37"/>
        <v>1552540.71</v>
      </c>
      <c r="H151" s="579">
        <f t="shared" si="37"/>
        <v>9187000</v>
      </c>
      <c r="I151" s="579">
        <f>H151-G151</f>
        <v>7634459.29</v>
      </c>
      <c r="J151" s="324">
        <f>IF(I151=0,"",I151/H151)</f>
        <v>0.83100678023293784</v>
      </c>
      <c r="K151" s="581">
        <f>SUM(K152)</f>
        <v>9187000</v>
      </c>
    </row>
    <row r="152" spans="1:12" ht="12.75" customHeight="1" x14ac:dyDescent="0.25">
      <c r="A152" s="518" t="s">
        <v>1335</v>
      </c>
      <c r="B152" s="169"/>
      <c r="C152" s="749"/>
      <c r="D152" s="754">
        <v>9187000</v>
      </c>
      <c r="E152" s="734">
        <v>9187000</v>
      </c>
      <c r="F152" s="734">
        <v>180811.47</v>
      </c>
      <c r="G152" s="734">
        <v>1552540.71</v>
      </c>
      <c r="H152" s="734">
        <f>E152/12*12</f>
        <v>9187000</v>
      </c>
      <c r="I152" s="44">
        <f>H152-G152</f>
        <v>7634459.29</v>
      </c>
      <c r="J152" s="124">
        <f>IF(I152=0,"",I152/H152)</f>
        <v>0.83100678023293784</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8">SUM(C155:C155)</f>
        <v>0</v>
      </c>
      <c r="D154" s="578">
        <f t="shared" si="38"/>
        <v>12080000</v>
      </c>
      <c r="E154" s="579">
        <f t="shared" si="38"/>
        <v>12160000</v>
      </c>
      <c r="F154" s="579">
        <f t="shared" si="38"/>
        <v>679108.46</v>
      </c>
      <c r="G154" s="579">
        <f t="shared" si="38"/>
        <v>3764048.4300000006</v>
      </c>
      <c r="H154" s="579">
        <f t="shared" si="38"/>
        <v>12160000</v>
      </c>
      <c r="I154" s="579">
        <f>H154-G154</f>
        <v>8395951.5700000003</v>
      </c>
      <c r="J154" s="324">
        <f>IF(I154=0,"",I154/H154)</f>
        <v>0.69045654358552633</v>
      </c>
      <c r="K154" s="581">
        <f>SUM(K155)</f>
        <v>12160000</v>
      </c>
    </row>
    <row r="155" spans="1:12" ht="12.75" customHeight="1" x14ac:dyDescent="0.25">
      <c r="A155" s="518" t="s">
        <v>1336</v>
      </c>
      <c r="B155" s="169"/>
      <c r="C155" s="749"/>
      <c r="D155" s="754">
        <v>12080000</v>
      </c>
      <c r="E155" s="734">
        <v>12160000</v>
      </c>
      <c r="F155" s="734">
        <v>679108.46</v>
      </c>
      <c r="G155" s="734">
        <v>3764048.4300000006</v>
      </c>
      <c r="H155" s="734">
        <f>E155/12*12</f>
        <v>12160000</v>
      </c>
      <c r="I155" s="44">
        <f>H155-G155</f>
        <v>8395951.5700000003</v>
      </c>
      <c r="J155" s="124">
        <f>IF(I155=0,"",I155/H155)</f>
        <v>0.69045654358552633</v>
      </c>
      <c r="K155" s="736">
        <f>E155</f>
        <v>12160000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9">SUM(C158:C158)</f>
        <v>0</v>
      </c>
      <c r="D157" s="578">
        <f t="shared" si="39"/>
        <v>0</v>
      </c>
      <c r="E157" s="579">
        <f t="shared" si="39"/>
        <v>0</v>
      </c>
      <c r="F157" s="579">
        <f t="shared" si="39"/>
        <v>1533989.96</v>
      </c>
      <c r="G157" s="579">
        <f t="shared" si="39"/>
        <v>5994977.6200000001</v>
      </c>
      <c r="H157" s="579">
        <f t="shared" si="39"/>
        <v>0</v>
      </c>
      <c r="I157" s="579">
        <f>H157-G157</f>
        <v>-5994977.6200000001</v>
      </c>
      <c r="J157" s="324" t="e">
        <f>IF(I157=0,"",I157/H157)</f>
        <v>#DIV/0!</v>
      </c>
      <c r="K157" s="581">
        <f>SUM(K158)</f>
        <v>0</v>
      </c>
    </row>
    <row r="158" spans="1:12" ht="12.75" customHeight="1" x14ac:dyDescent="0.25">
      <c r="A158" s="518" t="s">
        <v>1337</v>
      </c>
      <c r="B158" s="169"/>
      <c r="C158" s="749"/>
      <c r="D158" s="754"/>
      <c r="E158" s="734"/>
      <c r="F158" s="734">
        <v>1533989.96</v>
      </c>
      <c r="G158" s="734">
        <v>5994977.6200000001</v>
      </c>
      <c r="H158" s="734"/>
      <c r="I158" s="44">
        <f>H158-G158</f>
        <v>-5994977.6200000001</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0">SUM(C161:C161)</f>
        <v>0</v>
      </c>
      <c r="D160" s="578">
        <f t="shared" si="40"/>
        <v>17000000</v>
      </c>
      <c r="E160" s="579">
        <f t="shared" si="40"/>
        <v>17000000</v>
      </c>
      <c r="F160" s="579">
        <f t="shared" si="40"/>
        <v>0</v>
      </c>
      <c r="G160" s="579">
        <f t="shared" si="40"/>
        <v>0</v>
      </c>
      <c r="H160" s="579">
        <f t="shared" si="40"/>
        <v>17000000</v>
      </c>
      <c r="I160" s="579">
        <f>H160-G160</f>
        <v>17000000</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E161/12*12</f>
        <v>17000000</v>
      </c>
      <c r="I161" s="44">
        <f>H161-G161</f>
        <v>17000000</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154935257</v>
      </c>
      <c r="E166" s="55">
        <f t="shared" si="42"/>
        <v>346301092.31000006</v>
      </c>
      <c r="F166" s="55">
        <f t="shared" si="42"/>
        <v>8688996.4800000004</v>
      </c>
      <c r="G166" s="55">
        <f t="shared" si="42"/>
        <v>20916154.210000001</v>
      </c>
      <c r="H166" s="55">
        <f t="shared" si="42"/>
        <v>346301092.31000006</v>
      </c>
      <c r="I166" s="55">
        <f>H166-G166</f>
        <v>325384938.10000008</v>
      </c>
      <c r="J166" s="290">
        <f>IF(I166=0,"",I166/H166)</f>
        <v>0.9396012467922672</v>
      </c>
      <c r="K166" s="235">
        <f>K7+K75+K103+K110+K117+K135+K138+K148+K151+K154+K157+K160+K163</f>
        <v>346301092.31000006</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43" activePane="bottomRight" state="frozen"/>
      <selection pane="topRight"/>
      <selection pane="bottomLeft"/>
      <selection pane="bottomRight" activeCell="F158" sqref="F158:G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"&amp;S71Sb&amp; " - "&amp;Head57</f>
        <v>KZN225 Msunduzi - Supporting Table SC13b Consolidated Monthly Budget Statement - capital expenditure on renewal of existing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9600000</v>
      </c>
      <c r="I7" s="101">
        <f t="shared" ref="I7:I133" si="1">H7-G7</f>
        <v>9600000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7600000</v>
      </c>
      <c r="I8" s="258">
        <f t="shared" si="1"/>
        <v>7600000</v>
      </c>
      <c r="J8" s="576">
        <f t="shared" si="2"/>
        <v>1</v>
      </c>
      <c r="K8" s="611">
        <f>SUM(K9:K12)</f>
        <v>7600000</v>
      </c>
    </row>
    <row r="9" spans="1:11" ht="12.75" customHeight="1" x14ac:dyDescent="0.25">
      <c r="A9" s="575" t="s">
        <v>174</v>
      </c>
      <c r="B9" s="169"/>
      <c r="C9" s="749"/>
      <c r="D9" s="746">
        <v>7600000</v>
      </c>
      <c r="E9" s="734">
        <v>7600000</v>
      </c>
      <c r="F9" s="734"/>
      <c r="G9" s="734"/>
      <c r="H9" s="734">
        <f>E9/12*12</f>
        <v>7600000</v>
      </c>
      <c r="I9" s="258">
        <f t="shared" si="1"/>
        <v>7600000</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2000000</v>
      </c>
      <c r="E45" s="408">
        <f t="shared" si="8"/>
        <v>2000000</v>
      </c>
      <c r="F45" s="408">
        <f t="shared" si="8"/>
        <v>0</v>
      </c>
      <c r="G45" s="408">
        <f t="shared" si="8"/>
        <v>0</v>
      </c>
      <c r="H45" s="408">
        <f t="shared" si="8"/>
        <v>2000000</v>
      </c>
      <c r="I45" s="258">
        <f t="shared" si="1"/>
        <v>2000000</v>
      </c>
      <c r="J45" s="576">
        <f t="shared" si="2"/>
        <v>1</v>
      </c>
      <c r="K45" s="643">
        <f>SUM(K46:K52)</f>
        <v>2000000</v>
      </c>
    </row>
    <row r="46" spans="1:11" ht="12.75" customHeight="1" x14ac:dyDescent="0.25">
      <c r="A46" s="575" t="s">
        <v>1262</v>
      </c>
      <c r="B46" s="169"/>
      <c r="C46" s="749"/>
      <c r="D46" s="746">
        <v>2000000</v>
      </c>
      <c r="E46" s="734">
        <v>2000000</v>
      </c>
      <c r="F46" s="734"/>
      <c r="G46" s="734"/>
      <c r="H46" s="734">
        <f>E46/12*12</f>
        <v>2000000</v>
      </c>
      <c r="I46" s="258">
        <f t="shared" si="1"/>
        <v>2000000</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68155949.12000002</v>
      </c>
      <c r="G103" s="99">
        <f t="shared" si="15"/>
        <v>208367675.97999999</v>
      </c>
      <c r="H103" s="99">
        <f t="shared" si="15"/>
        <v>0</v>
      </c>
      <c r="I103" s="99">
        <f t="shared" si="1"/>
        <v>-208367675.97999999</v>
      </c>
      <c r="J103" s="324" t="e">
        <f t="shared" si="2"/>
        <v>#DIV/0!</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v>68155949.12000002</v>
      </c>
      <c r="G108" s="734">
        <v>208367675.97999999</v>
      </c>
      <c r="H108" s="734"/>
      <c r="I108" s="44">
        <f t="shared" si="1"/>
        <v>-208367675.97999999</v>
      </c>
      <c r="J108" s="124" t="e">
        <f t="shared" si="2"/>
        <v>#DIV/0!</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500000</v>
      </c>
      <c r="E151" s="579">
        <f t="shared" si="28"/>
        <v>500000</v>
      </c>
      <c r="F151" s="579">
        <f t="shared" si="28"/>
        <v>-1</v>
      </c>
      <c r="G151" s="579">
        <f t="shared" si="28"/>
        <v>-1</v>
      </c>
      <c r="H151" s="579">
        <f t="shared" si="28"/>
        <v>500000</v>
      </c>
      <c r="I151" s="579">
        <f>H151-G151</f>
        <v>500001</v>
      </c>
      <c r="J151" s="324">
        <f>IF(I151=0,"",I151/H151)</f>
        <v>1.0000020000000001</v>
      </c>
      <c r="K151" s="581">
        <f>SUM(K152)</f>
        <v>500000</v>
      </c>
    </row>
    <row r="152" spans="1:12" ht="12.75" customHeight="1" x14ac:dyDescent="0.25">
      <c r="A152" s="518" t="s">
        <v>1335</v>
      </c>
      <c r="B152" s="169"/>
      <c r="C152" s="749"/>
      <c r="D152" s="754">
        <v>500000</v>
      </c>
      <c r="E152" s="734">
        <v>500000</v>
      </c>
      <c r="F152" s="734">
        <v>-1</v>
      </c>
      <c r="G152" s="734">
        <v>-1</v>
      </c>
      <c r="H152" s="734">
        <f>E152/12*12</f>
        <v>500000</v>
      </c>
      <c r="I152" s="44">
        <f>H152-G152</f>
        <v>500001</v>
      </c>
      <c r="J152" s="124">
        <f>IF(I152=0,"",I152/H152)</f>
        <v>1.0000020000000001</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9431500</v>
      </c>
      <c r="E154" s="579">
        <f t="shared" si="29"/>
        <v>9431500</v>
      </c>
      <c r="F154" s="579">
        <f t="shared" si="29"/>
        <v>0</v>
      </c>
      <c r="G154" s="579">
        <f t="shared" si="29"/>
        <v>0</v>
      </c>
      <c r="H154" s="579">
        <f t="shared" si="29"/>
        <v>9431500</v>
      </c>
      <c r="I154" s="579">
        <f>H154-G154</f>
        <v>9431500</v>
      </c>
      <c r="J154" s="324">
        <f>IF(I154=0,"",I154/H154)</f>
        <v>1</v>
      </c>
      <c r="K154" s="581">
        <f>SUM(K155)</f>
        <v>9431500</v>
      </c>
    </row>
    <row r="155" spans="1:12" ht="12.75" customHeight="1" x14ac:dyDescent="0.25">
      <c r="A155" s="518" t="s">
        <v>1336</v>
      </c>
      <c r="B155" s="169"/>
      <c r="C155" s="749"/>
      <c r="D155" s="754">
        <v>9431500</v>
      </c>
      <c r="E155" s="734">
        <v>9431500</v>
      </c>
      <c r="F155" s="734"/>
      <c r="G155" s="734"/>
      <c r="H155" s="734">
        <f>E155/12*12</f>
        <v>9431500</v>
      </c>
      <c r="I155" s="44">
        <f>H155-G155</f>
        <v>9431500</v>
      </c>
      <c r="J155" s="124">
        <f>IF(I155=0,"",I155/H155)</f>
        <v>1</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121910.66</v>
      </c>
      <c r="G157" s="579">
        <f t="shared" si="30"/>
        <v>-4375362.12</v>
      </c>
      <c r="H157" s="579">
        <f t="shared" si="30"/>
        <v>0</v>
      </c>
      <c r="I157" s="579">
        <f>H157-G157</f>
        <v>4375362.12</v>
      </c>
      <c r="J157" s="324" t="e">
        <f>IF(I157=0,"",I157/H157)</f>
        <v>#DIV/0!</v>
      </c>
      <c r="K157" s="581">
        <f>SUM(K158)</f>
        <v>0</v>
      </c>
    </row>
    <row r="158" spans="1:12" ht="12.75" customHeight="1" x14ac:dyDescent="0.25">
      <c r="A158" s="518" t="s">
        <v>1337</v>
      </c>
      <c r="B158" s="169"/>
      <c r="C158" s="749"/>
      <c r="D158" s="754"/>
      <c r="E158" s="734"/>
      <c r="F158" s="734">
        <v>121910.66</v>
      </c>
      <c r="G158" s="734">
        <v>-4375362.12</v>
      </c>
      <c r="H158" s="734"/>
      <c r="I158" s="44">
        <f>H158-G158</f>
        <v>4375362.12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0</v>
      </c>
      <c r="D166" s="271">
        <f t="shared" si="33"/>
        <v>19531500</v>
      </c>
      <c r="E166" s="55">
        <f t="shared" si="33"/>
        <v>19531500</v>
      </c>
      <c r="F166" s="55">
        <f t="shared" si="33"/>
        <v>68277858.780000016</v>
      </c>
      <c r="G166" s="55">
        <f t="shared" si="33"/>
        <v>203992312.85999998</v>
      </c>
      <c r="H166" s="55">
        <f t="shared" si="33"/>
        <v>19531500</v>
      </c>
      <c r="I166" s="55">
        <f>H166-G166</f>
        <v>-184460812.85999998</v>
      </c>
      <c r="J166" s="290">
        <f>IF(I166=0,"",I166/H166)</f>
        <v>-9.4442727317410338</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3" activePane="bottomRight" state="frozen"/>
      <selection pane="topRight"/>
      <selection pane="bottomLeft"/>
      <selection pane="bottomRight" activeCell="F155" sqref="F155:G155"/>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"&amp;S71Sc&amp; " - "&amp;Head57</f>
        <v>KZN225 Msunduzi - Supporting Table SC13c Consolidated Monthly Budget Statement - expenditure on repairs and maintenance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60146066</v>
      </c>
      <c r="F7" s="102">
        <f t="shared" si="0"/>
        <v>13633832.199999999</v>
      </c>
      <c r="G7" s="102">
        <f t="shared" si="0"/>
        <v>33758097.360000007</v>
      </c>
      <c r="H7" s="102">
        <f t="shared" si="0"/>
        <v>60146066</v>
      </c>
      <c r="I7" s="101">
        <f t="shared" ref="I7:I166" si="1">H7-G7</f>
        <v>26387968.639999993</v>
      </c>
      <c r="J7" s="580">
        <f t="shared" ref="J7:J166" si="2">IF(I7=0,"",I7/H7)</f>
        <v>0.4387314149523926</v>
      </c>
      <c r="K7" s="604">
        <f>K8+K13+K17+K27+K38+K45+K53+K63+K69</f>
        <v>60146066</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60146066</v>
      </c>
      <c r="F17" s="408">
        <f t="shared" si="5"/>
        <v>13633832.199999999</v>
      </c>
      <c r="G17" s="408">
        <f t="shared" si="5"/>
        <v>33758097.360000007</v>
      </c>
      <c r="H17" s="408">
        <f t="shared" si="5"/>
        <v>60146066</v>
      </c>
      <c r="I17" s="258">
        <f t="shared" si="1"/>
        <v>26387968.639999993</v>
      </c>
      <c r="J17" s="576">
        <f t="shared" si="2"/>
        <v>0.4387314149523926</v>
      </c>
      <c r="K17" s="643">
        <f>SUM(K18:K26)</f>
        <v>60146066</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17656717</v>
      </c>
      <c r="F19" s="734">
        <v>3130901.5400000005</v>
      </c>
      <c r="G19" s="734">
        <v>14831031.570000004</v>
      </c>
      <c r="H19" s="734">
        <f>E19/12*12</f>
        <v>17656717</v>
      </c>
      <c r="I19" s="258">
        <f t="shared" si="1"/>
        <v>2825685.429999996</v>
      </c>
      <c r="J19" s="576">
        <f t="shared" si="2"/>
        <v>0.16003458797011902</v>
      </c>
      <c r="K19" s="736">
        <f>D19</f>
        <v>17656717</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1723795</v>
      </c>
      <c r="F22" s="734">
        <v>11381.19</v>
      </c>
      <c r="G22" s="734">
        <v>235863.78</v>
      </c>
      <c r="H22" s="734">
        <f>E22/12*12</f>
        <v>1723795</v>
      </c>
      <c r="I22" s="258">
        <f t="shared" si="1"/>
        <v>1487931.22</v>
      </c>
      <c r="J22" s="576">
        <f t="shared" si="2"/>
        <v>0.86317179246952214</v>
      </c>
      <c r="K22" s="736">
        <f>D22</f>
        <v>1723795</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40765554</v>
      </c>
      <c r="F25" s="734">
        <v>10491549.469999999</v>
      </c>
      <c r="G25" s="734">
        <v>18691202.010000002</v>
      </c>
      <c r="H25" s="734">
        <f>E25/12*12</f>
        <v>40765554</v>
      </c>
      <c r="I25" s="258">
        <f t="shared" si="1"/>
        <v>22074351.989999998</v>
      </c>
      <c r="J25" s="576">
        <f t="shared" si="2"/>
        <v>0.54149520425994946</v>
      </c>
      <c r="K25" s="736">
        <f>D25</f>
        <v>40765554</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21490</v>
      </c>
      <c r="E75" s="579">
        <f t="shared" si="12"/>
        <v>21490</v>
      </c>
      <c r="F75" s="579">
        <f t="shared" si="12"/>
        <v>0</v>
      </c>
      <c r="G75" s="579">
        <f t="shared" si="12"/>
        <v>0</v>
      </c>
      <c r="H75" s="579">
        <f t="shared" si="12"/>
        <v>21490</v>
      </c>
      <c r="I75" s="579">
        <f t="shared" si="1"/>
        <v>21490</v>
      </c>
      <c r="J75" s="580">
        <f t="shared" si="2"/>
        <v>1</v>
      </c>
      <c r="K75" s="581">
        <f>+K76+K99</f>
        <v>21490</v>
      </c>
    </row>
    <row r="76" spans="1:11" ht="12.75" customHeight="1" x14ac:dyDescent="0.25">
      <c r="A76" s="518" t="s">
        <v>1281</v>
      </c>
      <c r="B76" s="169"/>
      <c r="C76" s="649">
        <f t="shared" ref="C76:H76" si="13">SUM(C77:C98)</f>
        <v>0</v>
      </c>
      <c r="D76" s="650">
        <f t="shared" si="13"/>
        <v>21490</v>
      </c>
      <c r="E76" s="408">
        <f t="shared" si="13"/>
        <v>21490</v>
      </c>
      <c r="F76" s="408">
        <f t="shared" si="13"/>
        <v>0</v>
      </c>
      <c r="G76" s="408">
        <f t="shared" si="13"/>
        <v>0</v>
      </c>
      <c r="H76" s="408">
        <f t="shared" si="13"/>
        <v>21490</v>
      </c>
      <c r="I76" s="258">
        <f t="shared" si="1"/>
        <v>21490</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E96/12*12</f>
        <v>21490</v>
      </c>
      <c r="I96" s="44">
        <f t="shared" si="1"/>
        <v>21490</v>
      </c>
      <c r="J96" s="124">
        <f t="shared" si="2"/>
        <v>1</v>
      </c>
      <c r="K96" s="736">
        <f>D96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20718629</v>
      </c>
      <c r="E117" s="579">
        <f t="shared" si="19"/>
        <v>20718629</v>
      </c>
      <c r="F117" s="579">
        <f t="shared" si="19"/>
        <v>3381707.8899999997</v>
      </c>
      <c r="G117" s="579">
        <f t="shared" si="19"/>
        <v>8909823.5699999984</v>
      </c>
      <c r="H117" s="579">
        <f t="shared" si="19"/>
        <v>20718629</v>
      </c>
      <c r="I117" s="579">
        <f t="shared" si="1"/>
        <v>11808805.430000002</v>
      </c>
      <c r="J117" s="580">
        <f t="shared" si="2"/>
        <v>0.56996075512525479</v>
      </c>
      <c r="K117" s="581">
        <f>+K118+K130</f>
        <v>20718629</v>
      </c>
    </row>
    <row r="118" spans="1:11" ht="12.75" customHeight="1" x14ac:dyDescent="0.25">
      <c r="A118" s="518" t="s">
        <v>1311</v>
      </c>
      <c r="B118" s="169"/>
      <c r="C118" s="649">
        <f t="shared" ref="C118:H118" si="20">SUM(C119:C129)</f>
        <v>0</v>
      </c>
      <c r="D118" s="650">
        <f t="shared" si="20"/>
        <v>20718629</v>
      </c>
      <c r="E118" s="408">
        <f t="shared" si="20"/>
        <v>20718629</v>
      </c>
      <c r="F118" s="408">
        <f t="shared" si="20"/>
        <v>3381707.8899999997</v>
      </c>
      <c r="G118" s="408">
        <f t="shared" si="20"/>
        <v>8909823.5699999984</v>
      </c>
      <c r="H118" s="408">
        <f t="shared" si="20"/>
        <v>20718629</v>
      </c>
      <c r="I118" s="258">
        <f t="shared" si="1"/>
        <v>11808805.430000002</v>
      </c>
      <c r="J118" s="576">
        <f t="shared" si="2"/>
        <v>0.56996075512525479</v>
      </c>
      <c r="K118" s="643">
        <f>SUM(K119:K129)</f>
        <v>20718629</v>
      </c>
    </row>
    <row r="119" spans="1:11" ht="12.75" customHeight="1" x14ac:dyDescent="0.25">
      <c r="A119" s="575" t="s">
        <v>1312</v>
      </c>
      <c r="B119" s="169"/>
      <c r="C119" s="749"/>
      <c r="D119" s="754">
        <v>20718629</v>
      </c>
      <c r="E119" s="734">
        <v>20718629</v>
      </c>
      <c r="F119" s="734">
        <v>3381707.8899999997</v>
      </c>
      <c r="G119" s="734">
        <v>8909823.5699999984</v>
      </c>
      <c r="H119" s="734">
        <f>E119/12*12</f>
        <v>20718629</v>
      </c>
      <c r="I119" s="44">
        <f t="shared" si="1"/>
        <v>11808805.430000002</v>
      </c>
      <c r="J119" s="124">
        <f t="shared" si="2"/>
        <v>0.56996075512525479</v>
      </c>
      <c r="K119" s="736">
        <f>D119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16458444.169999998</v>
      </c>
      <c r="E154" s="579">
        <f t="shared" si="29"/>
        <v>16458444.169999998</v>
      </c>
      <c r="F154" s="579">
        <f t="shared" si="29"/>
        <v>2000469.2200000002</v>
      </c>
      <c r="G154" s="579">
        <f t="shared" si="29"/>
        <v>8558840.2300000023</v>
      </c>
      <c r="H154" s="579">
        <f t="shared" si="29"/>
        <v>16458444.169999998</v>
      </c>
      <c r="I154" s="579">
        <f>H154-G154</f>
        <v>7899603.9399999958</v>
      </c>
      <c r="J154" s="324">
        <f>IF(I154=0,"",I154/H154)</f>
        <v>0.4799727032764845</v>
      </c>
      <c r="K154" s="581">
        <f>SUM(K155)</f>
        <v>16458444.169999998</v>
      </c>
    </row>
    <row r="155" spans="1:12" ht="12.75" customHeight="1" x14ac:dyDescent="0.25">
      <c r="A155" s="518" t="s">
        <v>1336</v>
      </c>
      <c r="B155" s="169"/>
      <c r="C155" s="749"/>
      <c r="D155" s="754">
        <v>16458444.169999998</v>
      </c>
      <c r="E155" s="734">
        <v>16458444.169999998</v>
      </c>
      <c r="F155" s="734">
        <v>2000469.2200000002</v>
      </c>
      <c r="G155" s="734">
        <v>8558840.2300000023</v>
      </c>
      <c r="H155" s="734">
        <f>E155/12*12</f>
        <v>16458444.169999998</v>
      </c>
      <c r="I155" s="44">
        <f>H155-G155</f>
        <v>7899603.9399999958</v>
      </c>
      <c r="J155" s="124">
        <f>IF(I155=0,"",I155/H155)</f>
        <v>0.4799727032764845</v>
      </c>
      <c r="K155" s="736">
        <f>D155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97344629.170000002</v>
      </c>
      <c r="E166" s="55">
        <f t="shared" si="33"/>
        <v>97344629.170000002</v>
      </c>
      <c r="F166" s="55">
        <f t="shared" si="33"/>
        <v>19016009.309999999</v>
      </c>
      <c r="G166" s="55">
        <f t="shared" si="33"/>
        <v>51226761.160000011</v>
      </c>
      <c r="H166" s="55">
        <f t="shared" si="33"/>
        <v>97344629.170000002</v>
      </c>
      <c r="I166" s="55">
        <f t="shared" si="1"/>
        <v>46117868.00999999</v>
      </c>
      <c r="J166" s="290">
        <f t="shared" si="2"/>
        <v>0.47375873125430479</v>
      </c>
      <c r="K166" s="235">
        <f>K7+K75+K103+K110+K117+K135+K138+K148+K151+K154+K157+K160+K163</f>
        <v>97344629.170000002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61" activePane="bottomRight" state="frozen"/>
      <selection pane="topRight"/>
      <selection pane="bottomLeft"/>
      <selection pane="bottomRight" activeCell="N160" sqref="N16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"&amp;S71Sd&amp; " - "&amp;Head57</f>
        <v>KZN225 Msunduzi - Supporting Table SC13d Consolidated Monthly Budget Statement - depreciation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-181955.8</v>
      </c>
      <c r="G7" s="102">
        <f t="shared" si="0"/>
        <v>5782865.8200000003</v>
      </c>
      <c r="H7" s="102">
        <f t="shared" si="0"/>
        <v>287545999.64999998</v>
      </c>
      <c r="I7" s="101">
        <f t="shared" ref="I7:I166" si="1">H7-G7</f>
        <v>281763133.82999998</v>
      </c>
      <c r="J7" s="580">
        <f t="shared" ref="J7:J166" si="2">IF(I7=0,"",I7/H7)</f>
        <v>0.97988890185556787</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-569475.97</v>
      </c>
      <c r="G8" s="609">
        <f t="shared" si="3"/>
        <v>757297.24000000011</v>
      </c>
      <c r="H8" s="609">
        <f t="shared" si="3"/>
        <v>25197913.650000002</v>
      </c>
      <c r="I8" s="258">
        <f t="shared" si="1"/>
        <v>24440616.410000004</v>
      </c>
      <c r="J8" s="576">
        <f t="shared" si="2"/>
        <v>0.96994603400428758</v>
      </c>
      <c r="K8" s="611">
        <f>SUM(K9:K12)</f>
        <v>25197913.650000002</v>
      </c>
    </row>
    <row r="9" spans="1:11" ht="12.75" customHeight="1" x14ac:dyDescent="0.25">
      <c r="A9" s="575" t="s">
        <v>174</v>
      </c>
      <c r="B9" s="169"/>
      <c r="C9" s="749"/>
      <c r="D9" s="746">
        <v>25197913.650000002</v>
      </c>
      <c r="E9" s="734">
        <v>25197913.650000002</v>
      </c>
      <c r="F9" s="734">
        <v>-569475.97</v>
      </c>
      <c r="G9" s="734">
        <v>757297.24000000011</v>
      </c>
      <c r="H9" s="734">
        <f>E9/12*12</f>
        <v>25197913.650000002</v>
      </c>
      <c r="I9" s="258">
        <f t="shared" si="1"/>
        <v>24440616.410000004</v>
      </c>
      <c r="J9" s="576">
        <f t="shared" si="2"/>
        <v>0.96994603400428758</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112464927.75000001</v>
      </c>
      <c r="E17" s="408">
        <f t="shared" si="5"/>
        <v>112464927.75000001</v>
      </c>
      <c r="F17" s="408">
        <f t="shared" si="5"/>
        <v>0</v>
      </c>
      <c r="G17" s="408">
        <f t="shared" si="5"/>
        <v>0</v>
      </c>
      <c r="H17" s="408">
        <f t="shared" si="5"/>
        <v>112464927.75000001</v>
      </c>
      <c r="I17" s="258">
        <f t="shared" si="1"/>
        <v>112464927.75000001</v>
      </c>
      <c r="J17" s="576">
        <f t="shared" si="2"/>
        <v>1</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c r="G19" s="734"/>
      <c r="H19" s="734">
        <f>E19/12*12</f>
        <v>36872360.700000003</v>
      </c>
      <c r="I19" s="258">
        <f t="shared" si="1"/>
        <v>36872360.700000003</v>
      </c>
      <c r="J19" s="576">
        <f t="shared" si="2"/>
        <v>1</v>
      </c>
      <c r="K19" s="736">
        <f>E19</f>
        <v>36872360.700000003</v>
      </c>
    </row>
    <row r="20" spans="1:11" ht="12.75" customHeight="1" x14ac:dyDescent="0.25">
      <c r="A20" s="575" t="s">
        <v>1240</v>
      </c>
      <c r="B20" s="169"/>
      <c r="C20" s="749"/>
      <c r="D20" s="746">
        <v>4062513.0000000005</v>
      </c>
      <c r="E20" s="734">
        <v>4062513.0000000005</v>
      </c>
      <c r="F20" s="734"/>
      <c r="G20" s="734"/>
      <c r="H20" s="734">
        <f>E20/12*12</f>
        <v>4062513.0000000009</v>
      </c>
      <c r="I20" s="258">
        <f t="shared" si="1"/>
        <v>4062513.0000000009</v>
      </c>
      <c r="J20" s="576">
        <f t="shared" si="2"/>
        <v>1</v>
      </c>
      <c r="K20" s="736">
        <f>E20</f>
        <v>4062513.0000000005</v>
      </c>
    </row>
    <row r="21" spans="1:11" ht="12.75" customHeight="1" x14ac:dyDescent="0.25">
      <c r="A21" s="575" t="s">
        <v>1241</v>
      </c>
      <c r="B21" s="169"/>
      <c r="C21" s="749"/>
      <c r="D21" s="746">
        <v>68185854.450000018</v>
      </c>
      <c r="E21" s="734">
        <v>68185854.450000018</v>
      </c>
      <c r="F21" s="734"/>
      <c r="G21" s="734"/>
      <c r="H21" s="734">
        <f>E21/12*12</f>
        <v>68185854.450000018</v>
      </c>
      <c r="I21" s="258">
        <f t="shared" si="1"/>
        <v>68185854.450000018</v>
      </c>
      <c r="J21" s="576">
        <f t="shared" si="2"/>
        <v>1</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c r="G25" s="734"/>
      <c r="H25" s="734">
        <f>E25/12*12</f>
        <v>3344199.5999999996</v>
      </c>
      <c r="I25" s="258">
        <f t="shared" si="1"/>
        <v>3344199.5999999996</v>
      </c>
      <c r="J25" s="576">
        <f t="shared" si="2"/>
        <v>1</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99011193.75</v>
      </c>
      <c r="E27" s="408">
        <f t="shared" si="6"/>
        <v>99011193.75</v>
      </c>
      <c r="F27" s="408">
        <f t="shared" si="6"/>
        <v>0</v>
      </c>
      <c r="G27" s="408">
        <f t="shared" si="6"/>
        <v>0</v>
      </c>
      <c r="H27" s="408">
        <f t="shared" si="6"/>
        <v>99011193.75</v>
      </c>
      <c r="I27" s="258">
        <f t="shared" si="1"/>
        <v>99011193.75</v>
      </c>
      <c r="J27" s="576">
        <f t="shared" si="2"/>
        <v>1</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c r="G30" s="734"/>
      <c r="H30" s="734">
        <f>E30/12*12</f>
        <v>99011193.75</v>
      </c>
      <c r="I30" s="258">
        <f t="shared" si="1"/>
        <v>99011193.75</v>
      </c>
      <c r="J30" s="576">
        <f t="shared" si="2"/>
        <v>1</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43783387.200000003</v>
      </c>
      <c r="E38" s="408">
        <f t="shared" si="7"/>
        <v>43783387.200000003</v>
      </c>
      <c r="F38" s="408">
        <f t="shared" si="7"/>
        <v>0</v>
      </c>
      <c r="G38" s="408">
        <f t="shared" si="7"/>
        <v>0</v>
      </c>
      <c r="H38" s="408">
        <f t="shared" si="7"/>
        <v>43783387.200000003</v>
      </c>
      <c r="I38" s="258">
        <f t="shared" si="1"/>
        <v>43783387.200000003</v>
      </c>
      <c r="J38" s="576">
        <f t="shared" si="2"/>
        <v>1</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c r="G40" s="734"/>
      <c r="H40" s="734">
        <f>E40/12*12</f>
        <v>43783387.200000003</v>
      </c>
      <c r="I40" s="258">
        <f t="shared" si="1"/>
        <v>43783387.200000003</v>
      </c>
      <c r="J40" s="576">
        <f t="shared" si="2"/>
        <v>1</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7008422.4000000004</v>
      </c>
      <c r="E45" s="408">
        <f t="shared" si="8"/>
        <v>7008422.4000000004</v>
      </c>
      <c r="F45" s="408">
        <f t="shared" si="8"/>
        <v>387520.17</v>
      </c>
      <c r="G45" s="408">
        <f t="shared" si="8"/>
        <v>5025568.58</v>
      </c>
      <c r="H45" s="408">
        <f t="shared" si="8"/>
        <v>7008422.4000000004</v>
      </c>
      <c r="I45" s="258">
        <f t="shared" si="1"/>
        <v>1982853.8200000003</v>
      </c>
      <c r="J45" s="576">
        <f t="shared" si="2"/>
        <v>0.28292441677031344</v>
      </c>
      <c r="K45" s="643">
        <f>SUM(K46:K52)</f>
        <v>7008422.4000000004</v>
      </c>
    </row>
    <row r="46" spans="1:11" ht="12.75" customHeight="1" x14ac:dyDescent="0.25">
      <c r="A46" s="575" t="s">
        <v>1262</v>
      </c>
      <c r="B46" s="169"/>
      <c r="C46" s="749"/>
      <c r="D46" s="746">
        <v>7008422.4000000004</v>
      </c>
      <c r="E46" s="734">
        <v>7008422.4000000004</v>
      </c>
      <c r="F46" s="734">
        <v>387520.17</v>
      </c>
      <c r="G46" s="734">
        <v>5025568.58</v>
      </c>
      <c r="H46" s="734">
        <f>E46/12*12</f>
        <v>7008422.4000000004</v>
      </c>
      <c r="I46" s="258">
        <f t="shared" si="1"/>
        <v>1982853.8200000003</v>
      </c>
      <c r="J46" s="576">
        <f t="shared" si="2"/>
        <v>0.28292441677031344</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80154.900000000009</v>
      </c>
      <c r="E53" s="408">
        <f t="shared" si="9"/>
        <v>80154.900000000009</v>
      </c>
      <c r="F53" s="408">
        <f t="shared" si="9"/>
        <v>0</v>
      </c>
      <c r="G53" s="408">
        <f t="shared" si="9"/>
        <v>0</v>
      </c>
      <c r="H53" s="408">
        <f t="shared" si="9"/>
        <v>80154.900000000009</v>
      </c>
      <c r="I53" s="258">
        <f t="shared" si="1"/>
        <v>80154.900000000009</v>
      </c>
      <c r="J53" s="576">
        <f t="shared" si="2"/>
        <v>1</v>
      </c>
      <c r="K53" s="643">
        <f>SUM(K54:K62)</f>
        <v>80154.900000000009</v>
      </c>
    </row>
    <row r="54" spans="1:11" ht="12.75" customHeight="1" x14ac:dyDescent="0.25">
      <c r="A54" s="575" t="s">
        <v>1269</v>
      </c>
      <c r="B54" s="169"/>
      <c r="C54" s="749"/>
      <c r="D54" s="746">
        <v>80154.900000000009</v>
      </c>
      <c r="E54" s="734">
        <v>80154.900000000009</v>
      </c>
      <c r="F54" s="734"/>
      <c r="G54" s="734"/>
      <c r="H54" s="734">
        <f>E54/12*12</f>
        <v>80154.900000000009</v>
      </c>
      <c r="I54" s="258">
        <f t="shared" si="1"/>
        <v>80154.900000000009</v>
      </c>
      <c r="J54" s="576">
        <f t="shared" si="2"/>
        <v>1</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-2629824.61</v>
      </c>
      <c r="G75" s="579">
        <f t="shared" si="12"/>
        <v>10595415.109999998</v>
      </c>
      <c r="H75" s="579">
        <f t="shared" si="12"/>
        <v>0</v>
      </c>
      <c r="I75" s="579">
        <f t="shared" si="1"/>
        <v>-10595415.109999998</v>
      </c>
      <c r="J75" s="580" t="e">
        <f t="shared" si="2"/>
        <v>#DIV/0!</v>
      </c>
      <c r="K75" s="581">
        <f>+K76+K99</f>
        <v>0</v>
      </c>
    </row>
    <row r="76" spans="1:11" ht="12.75" customHeight="1" x14ac:dyDescent="0.25">
      <c r="A76" s="518" t="s">
        <v>1281</v>
      </c>
      <c r="B76" s="169"/>
      <c r="C76" s="649">
        <f t="shared" ref="C76:H76" si="13">SUM(C77:C98)</f>
        <v>0</v>
      </c>
      <c r="D76" s="650">
        <f t="shared" si="13"/>
        <v>0</v>
      </c>
      <c r="E76" s="408">
        <f t="shared" si="13"/>
        <v>0</v>
      </c>
      <c r="F76" s="408">
        <f t="shared" si="13"/>
        <v>-2638744.42</v>
      </c>
      <c r="G76" s="408">
        <f t="shared" si="13"/>
        <v>10460899.529999997</v>
      </c>
      <c r="H76" s="408">
        <f t="shared" si="13"/>
        <v>0</v>
      </c>
      <c r="I76" s="258">
        <f t="shared" si="1"/>
        <v>-10460899.529999997</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-329459.95999999996</v>
      </c>
      <c r="G78" s="734">
        <v>3140102.0799999991</v>
      </c>
      <c r="H78" s="734"/>
      <c r="I78" s="44">
        <f t="shared" si="1"/>
        <v>-3140102.0799999991</v>
      </c>
      <c r="J78" s="124" t="e">
        <f t="shared" si="2"/>
        <v>#DIV/0!</v>
      </c>
      <c r="K78" s="736"/>
    </row>
    <row r="79" spans="1:11" ht="12.75" customHeight="1" x14ac:dyDescent="0.25">
      <c r="A79" s="575" t="s">
        <v>1284</v>
      </c>
      <c r="B79" s="169"/>
      <c r="C79" s="749"/>
      <c r="D79" s="754"/>
      <c r="E79" s="734"/>
      <c r="F79" s="734">
        <v>-87614.97</v>
      </c>
      <c r="G79" s="734">
        <v>500035.33999999997</v>
      </c>
      <c r="H79" s="734"/>
      <c r="I79" s="44">
        <f t="shared" si="1"/>
        <v>-500035.33999999997</v>
      </c>
      <c r="J79" s="124" t="e">
        <f t="shared" si="2"/>
        <v>#DIV/0!</v>
      </c>
      <c r="K79" s="736"/>
    </row>
    <row r="80" spans="1:11" ht="12.75" customHeight="1" x14ac:dyDescent="0.25">
      <c r="A80" s="575" t="s">
        <v>1285</v>
      </c>
      <c r="B80" s="169"/>
      <c r="C80" s="749"/>
      <c r="D80" s="754"/>
      <c r="E80" s="734"/>
      <c r="F80" s="734">
        <v>42730.9</v>
      </c>
      <c r="G80" s="734">
        <v>658329.79</v>
      </c>
      <c r="H80" s="734"/>
      <c r="I80" s="44">
        <f t="shared" si="1"/>
        <v>-658329.79</v>
      </c>
      <c r="J80" s="124" t="e">
        <f t="shared" si="2"/>
        <v>#DIV/0!</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-24602.51</v>
      </c>
      <c r="G85" s="734">
        <v>379708.6</v>
      </c>
      <c r="H85" s="734"/>
      <c r="I85" s="44">
        <f t="shared" si="1"/>
        <v>-379708.6</v>
      </c>
      <c r="J85" s="124" t="e">
        <f t="shared" si="2"/>
        <v>#DIV/0!</v>
      </c>
      <c r="K85" s="736"/>
    </row>
    <row r="86" spans="1:11" ht="12.75" customHeight="1" x14ac:dyDescent="0.25">
      <c r="A86" s="575" t="s">
        <v>560</v>
      </c>
      <c r="B86" s="169"/>
      <c r="C86" s="749"/>
      <c r="D86" s="754"/>
      <c r="E86" s="734"/>
      <c r="F86" s="734">
        <v>3004.6499999999996</v>
      </c>
      <c r="G86" s="734">
        <v>36656.720000000001</v>
      </c>
      <c r="H86" s="734"/>
      <c r="I86" s="44">
        <f t="shared" si="1"/>
        <v>-36656.720000000001</v>
      </c>
      <c r="J86" s="124" t="e">
        <f t="shared" si="2"/>
        <v>#DIV/0!</v>
      </c>
      <c r="K86" s="736"/>
    </row>
    <row r="87" spans="1:11" ht="12.75" customHeight="1" x14ac:dyDescent="0.25">
      <c r="A87" s="575" t="s">
        <v>1290</v>
      </c>
      <c r="B87" s="169"/>
      <c r="C87" s="749"/>
      <c r="D87" s="754"/>
      <c r="E87" s="734"/>
      <c r="F87" s="734">
        <v>2196.4</v>
      </c>
      <c r="G87" s="734">
        <v>49535.110000000008</v>
      </c>
      <c r="H87" s="734"/>
      <c r="I87" s="44">
        <f t="shared" si="1"/>
        <v>-49535.110000000008</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865.1</v>
      </c>
      <c r="G90" s="734">
        <v>10554.190000000002</v>
      </c>
      <c r="H90" s="734"/>
      <c r="I90" s="44">
        <f t="shared" si="1"/>
        <v>-10554.190000000002</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-30371.45</v>
      </c>
      <c r="G92" s="734">
        <v>89732.21</v>
      </c>
      <c r="H92" s="734"/>
      <c r="I92" s="44">
        <f t="shared" si="1"/>
        <v>-89732.21</v>
      </c>
      <c r="J92" s="124" t="e">
        <f t="shared" si="2"/>
        <v>#DIV/0!</v>
      </c>
      <c r="K92" s="736"/>
    </row>
    <row r="93" spans="1:11" ht="12.75" customHeight="1" x14ac:dyDescent="0.25">
      <c r="A93" s="575" t="s">
        <v>448</v>
      </c>
      <c r="B93" s="169"/>
      <c r="C93" s="749"/>
      <c r="D93" s="754"/>
      <c r="E93" s="734"/>
      <c r="F93" s="734">
        <v>-2215492.58</v>
      </c>
      <c r="G93" s="734">
        <v>5596245.4899999993</v>
      </c>
      <c r="H93" s="734"/>
      <c r="I93" s="44">
        <f t="shared" si="1"/>
        <v>-5596245.4899999993</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8919.81</v>
      </c>
      <c r="G99" s="408">
        <f t="shared" si="14"/>
        <v>134515.58000000002</v>
      </c>
      <c r="H99" s="408">
        <f t="shared" si="14"/>
        <v>0</v>
      </c>
      <c r="I99" s="258">
        <f t="shared" si="1"/>
        <v>-134515.58000000002</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8919.81</v>
      </c>
      <c r="G101" s="734">
        <v>134515.58000000002</v>
      </c>
      <c r="H101" s="734"/>
      <c r="I101" s="44">
        <f>H101-G101</f>
        <v>-134515.58000000002</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93436805.599999964</v>
      </c>
      <c r="E117" s="579">
        <f t="shared" si="19"/>
        <v>93436805.599999964</v>
      </c>
      <c r="F117" s="579">
        <f t="shared" si="19"/>
        <v>866827.14999999991</v>
      </c>
      <c r="G117" s="579">
        <f t="shared" si="19"/>
        <v>19761882.140000004</v>
      </c>
      <c r="H117" s="579">
        <f t="shared" si="19"/>
        <v>93436805.599999964</v>
      </c>
      <c r="I117" s="579">
        <f t="shared" si="1"/>
        <v>73674923.459999964</v>
      </c>
      <c r="J117" s="580">
        <f t="shared" si="2"/>
        <v>0.78850002402051289</v>
      </c>
      <c r="K117" s="581">
        <f>+K118+K130</f>
        <v>93436805.599999964</v>
      </c>
    </row>
    <row r="118" spans="1:11" ht="12.75" customHeight="1" x14ac:dyDescent="0.25">
      <c r="A118" s="518" t="s">
        <v>1311</v>
      </c>
      <c r="B118" s="169"/>
      <c r="C118" s="649">
        <f t="shared" ref="C118:H118" si="20">SUM(C119:C129)</f>
        <v>0</v>
      </c>
      <c r="D118" s="650">
        <f t="shared" si="20"/>
        <v>93436805.599999964</v>
      </c>
      <c r="E118" s="408">
        <f t="shared" si="20"/>
        <v>93436805.599999964</v>
      </c>
      <c r="F118" s="408">
        <f t="shared" si="20"/>
        <v>866827.14999999991</v>
      </c>
      <c r="G118" s="408">
        <f t="shared" si="20"/>
        <v>19761882.140000004</v>
      </c>
      <c r="H118" s="408">
        <f t="shared" si="20"/>
        <v>93436805.599999964</v>
      </c>
      <c r="I118" s="258">
        <f t="shared" si="1"/>
        <v>73674923.459999964</v>
      </c>
      <c r="J118" s="576">
        <f t="shared" si="2"/>
        <v>0.78850002402051289</v>
      </c>
      <c r="K118" s="643">
        <f>SUM(K119:K129)</f>
        <v>93436805.599999964</v>
      </c>
    </row>
    <row r="119" spans="1:11" ht="12.75" customHeight="1" x14ac:dyDescent="0.25">
      <c r="A119" s="575" t="s">
        <v>1312</v>
      </c>
      <c r="B119" s="169"/>
      <c r="C119" s="749"/>
      <c r="D119" s="754">
        <v>93436805.599999964</v>
      </c>
      <c r="E119" s="734">
        <v>93436805.599999964</v>
      </c>
      <c r="F119" s="734">
        <v>920229.53999999992</v>
      </c>
      <c r="G119" s="734">
        <v>19183355.080000006</v>
      </c>
      <c r="H119" s="734">
        <f>E119/12*12</f>
        <v>93436805.599999964</v>
      </c>
      <c r="I119" s="44">
        <f t="shared" si="1"/>
        <v>74253450.519999951</v>
      </c>
      <c r="J119" s="124">
        <f t="shared" si="2"/>
        <v>0.79469166398813595</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-53402.39</v>
      </c>
      <c r="G122" s="734">
        <v>578527.06000000006</v>
      </c>
      <c r="H122" s="734"/>
      <c r="I122" s="44">
        <f t="shared" si="1"/>
        <v>-578527.06000000006</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16465275.750000004</v>
      </c>
      <c r="E138" s="943">
        <f t="shared" si="24"/>
        <v>16465275.750000004</v>
      </c>
      <c r="F138" s="943">
        <f t="shared" si="24"/>
        <v>-597449.53999999992</v>
      </c>
      <c r="G138" s="943">
        <f t="shared" si="24"/>
        <v>10410081.210000001</v>
      </c>
      <c r="H138" s="943">
        <f t="shared" si="24"/>
        <v>16465275.750000004</v>
      </c>
      <c r="I138" s="943">
        <f t="shared" ref="I138:I146" si="25">H138-G138</f>
        <v>6055194.5400000028</v>
      </c>
      <c r="J138" s="324">
        <f t="shared" si="23"/>
        <v>0.36775542857215748</v>
      </c>
      <c r="K138" s="944">
        <f>SUM(K139:K140)</f>
        <v>16465275.750000004</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16465275.750000004</v>
      </c>
      <c r="E140" s="408">
        <f t="shared" si="26"/>
        <v>16465275.750000004</v>
      </c>
      <c r="F140" s="408">
        <f t="shared" si="26"/>
        <v>-597449.53999999992</v>
      </c>
      <c r="G140" s="408">
        <f t="shared" si="26"/>
        <v>10410081.210000001</v>
      </c>
      <c r="H140" s="408">
        <f t="shared" si="26"/>
        <v>16465275.750000004</v>
      </c>
      <c r="I140" s="258">
        <f t="shared" si="25"/>
        <v>6055194.5400000028</v>
      </c>
      <c r="J140" s="576">
        <f t="shared" si="23"/>
        <v>0.36775542857215748</v>
      </c>
      <c r="K140" s="643">
        <f>SUM(K141:K146)</f>
        <v>16465275.750000004</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v>16465275.750000004</v>
      </c>
      <c r="E144" s="734">
        <v>16465275.750000004</v>
      </c>
      <c r="F144" s="734">
        <v>-597449.53999999992</v>
      </c>
      <c r="G144" s="734">
        <v>10410081.210000001</v>
      </c>
      <c r="H144" s="734">
        <f>E144/12*12</f>
        <v>16465275.750000004</v>
      </c>
      <c r="I144" s="44">
        <f t="shared" si="25"/>
        <v>6055194.5400000028</v>
      </c>
      <c r="J144" s="124">
        <f t="shared" si="23"/>
        <v>0.36775542857215748</v>
      </c>
      <c r="K144" s="736">
        <f>E144</f>
        <v>16465275.750000004</v>
      </c>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6235493.2899999982</v>
      </c>
      <c r="E148" s="579">
        <f t="shared" si="27"/>
        <v>6235493.2899999982</v>
      </c>
      <c r="F148" s="579">
        <f t="shared" si="27"/>
        <v>-1857020.0499999993</v>
      </c>
      <c r="G148" s="579">
        <f t="shared" si="27"/>
        <v>10544434.149999999</v>
      </c>
      <c r="H148" s="579">
        <f t="shared" si="27"/>
        <v>6235493.2899999982</v>
      </c>
      <c r="I148" s="579">
        <f>H148-G148</f>
        <v>-4308940.8600000003</v>
      </c>
      <c r="J148" s="324">
        <f>IF(I148=0,"",I148/H148)</f>
        <v>-0.69103447948702734</v>
      </c>
      <c r="K148" s="581">
        <f>SUM(K149)</f>
        <v>6235493.2899999982</v>
      </c>
    </row>
    <row r="149" spans="1:12" ht="12.75" customHeight="1" x14ac:dyDescent="0.25">
      <c r="A149" s="518" t="s">
        <v>1334</v>
      </c>
      <c r="B149" s="169"/>
      <c r="C149" s="749"/>
      <c r="D149" s="754">
        <v>6235493.2899999982</v>
      </c>
      <c r="E149" s="734">
        <v>6235493.2899999982</v>
      </c>
      <c r="F149" s="734">
        <v>-1857020.0499999993</v>
      </c>
      <c r="G149" s="734">
        <v>10544434.149999999</v>
      </c>
      <c r="H149" s="734">
        <f>E149/12*12</f>
        <v>6235493.2899999982</v>
      </c>
      <c r="I149" s="44">
        <f>H149-G149</f>
        <v>-4308940.8600000003</v>
      </c>
      <c r="J149" s="124">
        <f>IF(I149=0,"",I149/H149)</f>
        <v>-0.69103447948702734</v>
      </c>
      <c r="K149" s="736">
        <f>E149</f>
        <v>6235493.2899999982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5314007.6100000003</v>
      </c>
      <c r="E151" s="579">
        <f t="shared" si="28"/>
        <v>5314007.6100000003</v>
      </c>
      <c r="F151" s="579">
        <f t="shared" si="28"/>
        <v>-8219921.7200000035</v>
      </c>
      <c r="G151" s="579">
        <f t="shared" si="28"/>
        <v>343165040.22000009</v>
      </c>
      <c r="H151" s="579">
        <f t="shared" si="28"/>
        <v>5314007.6100000003</v>
      </c>
      <c r="I151" s="579">
        <f>H151-G151</f>
        <v>-337851032.61000007</v>
      </c>
      <c r="J151" s="324">
        <f>IF(I151=0,"",I151/H151)</f>
        <v>-63.577446139562461</v>
      </c>
      <c r="K151" s="581">
        <f>SUM(K152)</f>
        <v>5314007.6100000003</v>
      </c>
    </row>
    <row r="152" spans="1:12" ht="12.75" customHeight="1" x14ac:dyDescent="0.25">
      <c r="A152" s="518" t="s">
        <v>1335</v>
      </c>
      <c r="B152" s="169"/>
      <c r="C152" s="749"/>
      <c r="D152" s="754">
        <v>5314007.6100000003</v>
      </c>
      <c r="E152" s="734">
        <v>5314007.6100000003</v>
      </c>
      <c r="F152" s="734">
        <v>-8219921.7200000035</v>
      </c>
      <c r="G152" s="734">
        <v>343165040.22000009</v>
      </c>
      <c r="H152" s="734">
        <f>E152/12*12</f>
        <v>5314007.6100000003</v>
      </c>
      <c r="I152" s="44">
        <f>H152-G152</f>
        <v>-337851032.61000007</v>
      </c>
      <c r="J152" s="124">
        <f>IF(I152=0,"",I152/H152)</f>
        <v>-63.577446139562461</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83027498.35000062</v>
      </c>
      <c r="E154" s="579">
        <f t="shared" si="29"/>
        <v>83027498.35000062</v>
      </c>
      <c r="F154" s="579">
        <f t="shared" si="29"/>
        <v>-95800.069999999949</v>
      </c>
      <c r="G154" s="579">
        <f t="shared" si="29"/>
        <v>5065919.4400000013</v>
      </c>
      <c r="H154" s="579">
        <f t="shared" si="29"/>
        <v>83027498.35000062</v>
      </c>
      <c r="I154" s="579">
        <f>H154-G154</f>
        <v>77961578.910000622</v>
      </c>
      <c r="J154" s="324">
        <f>IF(I154=0,"",I154/H154)</f>
        <v>0.93898504061094645</v>
      </c>
      <c r="K154" s="581">
        <f>SUM(K155)</f>
        <v>83027498.35000062</v>
      </c>
    </row>
    <row r="155" spans="1:12" ht="12.75" customHeight="1" x14ac:dyDescent="0.25">
      <c r="A155" s="518" t="s">
        <v>1336</v>
      </c>
      <c r="B155" s="169"/>
      <c r="C155" s="749"/>
      <c r="D155" s="754">
        <v>83027498.35000062</v>
      </c>
      <c r="E155" s="734">
        <v>83027498.35000062</v>
      </c>
      <c r="F155" s="734">
        <v>-95800.069999999949</v>
      </c>
      <c r="G155" s="734">
        <v>5065919.4400000013</v>
      </c>
      <c r="H155" s="734">
        <f>E155/12*12</f>
        <v>83027498.35000062</v>
      </c>
      <c r="I155" s="44">
        <f>H155-G155</f>
        <v>77961578.910000622</v>
      </c>
      <c r="J155" s="124">
        <f>IF(I155=0,"",I155/H155)</f>
        <v>0.93898504061094645</v>
      </c>
      <c r="K155" s="736">
        <f>E155</f>
        <v>83027498.35000062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-843864.7</v>
      </c>
      <c r="G157" s="579">
        <f t="shared" si="30"/>
        <v>12482805.989999998</v>
      </c>
      <c r="H157" s="579">
        <f t="shared" si="30"/>
        <v>0</v>
      </c>
      <c r="I157" s="579">
        <f>H157-G157</f>
        <v>-12482805.989999998</v>
      </c>
      <c r="J157" s="324" t="e">
        <f>IF(I157=0,"",I157/H157)</f>
        <v>#DIV/0!</v>
      </c>
      <c r="K157" s="581">
        <f>SUM(K158)</f>
        <v>0</v>
      </c>
    </row>
    <row r="158" spans="1:12" ht="12.75" customHeight="1" x14ac:dyDescent="0.25">
      <c r="A158" s="518" t="s">
        <v>1337</v>
      </c>
      <c r="B158" s="169"/>
      <c r="C158" s="749"/>
      <c r="D158" s="754"/>
      <c r="E158" s="734"/>
      <c r="F158" s="734">
        <v>-843864.7</v>
      </c>
      <c r="G158" s="734">
        <v>12482805.989999998</v>
      </c>
      <c r="H158" s="734"/>
      <c r="I158" s="44">
        <f>H158-G158</f>
        <v>-12482805.989999998</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33">C7+C75+C103+C110+C117+C135+C138+C148+C151+C154+C157+C160+C163</f>
        <v>0</v>
      </c>
      <c r="D166" s="271">
        <f t="shared" si="33"/>
        <v>492025080.2500006</v>
      </c>
      <c r="E166" s="55">
        <f t="shared" si="33"/>
        <v>492025080.2500006</v>
      </c>
      <c r="F166" s="55">
        <f t="shared" si="33"/>
        <v>-13559009.340000004</v>
      </c>
      <c r="G166" s="55">
        <f t="shared" si="33"/>
        <v>417808444.0800001</v>
      </c>
      <c r="H166" s="55">
        <f t="shared" si="33"/>
        <v>492025080.2500006</v>
      </c>
      <c r="I166" s="55">
        <f t="shared" si="1"/>
        <v>74216636.170000494</v>
      </c>
      <c r="J166" s="290">
        <f t="shared" si="2"/>
        <v>0.15083913229035117</v>
      </c>
      <c r="K166" s="235">
        <f>K7+K75+K103+K110+K117+K135+K138+K148+K151+K154+K157+K160+K163</f>
        <v>492025080.2500006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52" activePane="bottomRight" state="frozen"/>
      <selection pane="topRight"/>
      <selection pane="bottomLeft"/>
      <selection pane="bottomRight" activeCell="N176" sqref="N176"/>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1" t="str">
        <f>muni&amp; " - "&amp;S71Se&amp; " - "&amp;Head57</f>
        <v>KZN225 Msunduzi - Supporting Table SC13e Monthly Budget Statement - capital expenditure on upgrading of existing assets by asset class - Q4 Fourth Quarter</v>
      </c>
      <c r="B1" s="1041"/>
      <c r="C1" s="1041"/>
      <c r="D1" s="1041"/>
      <c r="E1" s="1041"/>
      <c r="F1" s="1041"/>
      <c r="G1" s="1041"/>
      <c r="H1" s="1041"/>
      <c r="I1" s="1041"/>
      <c r="J1" s="1041"/>
      <c r="K1" s="1041"/>
    </row>
    <row r="2" spans="1:11" x14ac:dyDescent="0.25">
      <c r="A2" s="1026" t="str">
        <f>desc</f>
        <v>Description</v>
      </c>
      <c r="B2" s="1019" t="str">
        <f>head27</f>
        <v>Ref</v>
      </c>
      <c r="C2" s="139" t="str">
        <f>Head1</f>
        <v>2018/19</v>
      </c>
      <c r="D2" s="245" t="str">
        <f>Head2</f>
        <v>Budget Year 2019/20</v>
      </c>
      <c r="E2" s="229"/>
      <c r="F2" s="229"/>
      <c r="G2" s="229"/>
      <c r="H2" s="229"/>
      <c r="I2" s="229"/>
      <c r="J2" s="229"/>
      <c r="K2" s="230"/>
    </row>
    <row r="3" spans="1:11" ht="25.5" x14ac:dyDescent="0.25">
      <c r="A3" s="1027"/>
      <c r="B3" s="1030"/>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198346244.40000001</v>
      </c>
      <c r="F7" s="102">
        <f t="shared" si="0"/>
        <v>0</v>
      </c>
      <c r="G7" s="102">
        <f t="shared" si="0"/>
        <v>0</v>
      </c>
      <c r="H7" s="102">
        <f t="shared" si="0"/>
        <v>198346244.40000001</v>
      </c>
      <c r="I7" s="101">
        <f t="shared" ref="I7:I133" si="1">H7-G7</f>
        <v>198346244.40000001</v>
      </c>
      <c r="J7" s="580">
        <f t="shared" ref="J7:J136" si="2">IF(I7=0,"",I7/H7)</f>
        <v>1</v>
      </c>
      <c r="K7" s="604">
        <f>K8+K13+K17+K27+K38+K45+K53+K63+K69</f>
        <v>198346244.40000001</v>
      </c>
    </row>
    <row r="8" spans="1:11" ht="12.75" customHeight="1" x14ac:dyDescent="0.25">
      <c r="A8" s="518" t="s">
        <v>1229</v>
      </c>
      <c r="B8" s="169"/>
      <c r="C8" s="678">
        <f t="shared" ref="C8:H8" si="3">SUM(C9:C12)</f>
        <v>0</v>
      </c>
      <c r="D8" s="610">
        <f t="shared" si="3"/>
        <v>108700000.40000001</v>
      </c>
      <c r="E8" s="609">
        <f t="shared" si="3"/>
        <v>108700000.40000001</v>
      </c>
      <c r="F8" s="609">
        <f t="shared" si="3"/>
        <v>0</v>
      </c>
      <c r="G8" s="609">
        <f t="shared" si="3"/>
        <v>0</v>
      </c>
      <c r="H8" s="609">
        <f t="shared" si="3"/>
        <v>108700000.40000001</v>
      </c>
      <c r="I8" s="258">
        <f t="shared" si="1"/>
        <v>108700000.40000001</v>
      </c>
      <c r="J8" s="576">
        <f t="shared" si="2"/>
        <v>1</v>
      </c>
      <c r="K8" s="611">
        <f>SUM(K9:K12)</f>
        <v>108700000.40000001</v>
      </c>
    </row>
    <row r="9" spans="1:11" ht="12.75" customHeight="1" x14ac:dyDescent="0.25">
      <c r="A9" s="575" t="s">
        <v>174</v>
      </c>
      <c r="B9" s="169"/>
      <c r="C9" s="749"/>
      <c r="D9" s="746">
        <v>108700000.40000001</v>
      </c>
      <c r="E9" s="734">
        <v>108700000.40000001</v>
      </c>
      <c r="F9" s="734"/>
      <c r="G9" s="734"/>
      <c r="H9" s="734">
        <f>E9/12*12</f>
        <v>108700000.40000001</v>
      </c>
      <c r="I9" s="258">
        <f t="shared" si="1"/>
        <v>108700000.40000001</v>
      </c>
      <c r="J9" s="576">
        <f t="shared" si="2"/>
        <v>1</v>
      </c>
      <c r="K9" s="736">
        <f>E9</f>
        <v>108700000.40000001</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56290000</v>
      </c>
      <c r="E17" s="408">
        <f t="shared" si="5"/>
        <v>56290000</v>
      </c>
      <c r="F17" s="408">
        <f t="shared" si="5"/>
        <v>0</v>
      </c>
      <c r="G17" s="408">
        <f t="shared" si="5"/>
        <v>0</v>
      </c>
      <c r="H17" s="408">
        <f t="shared" si="5"/>
        <v>56290000</v>
      </c>
      <c r="I17" s="258">
        <f t="shared" si="1"/>
        <v>56290000</v>
      </c>
      <c r="J17" s="576">
        <f t="shared" si="2"/>
        <v>1</v>
      </c>
      <c r="K17" s="643">
        <f>SUM(K18:K26)</f>
        <v>56290000</v>
      </c>
    </row>
    <row r="18" spans="1:11" ht="12.75" customHeight="1" x14ac:dyDescent="0.25">
      <c r="A18" s="575" t="s">
        <v>1238</v>
      </c>
      <c r="B18" s="169"/>
      <c r="C18" s="749"/>
      <c r="D18" s="746">
        <v>56290000</v>
      </c>
      <c r="E18" s="734">
        <v>56290000</v>
      </c>
      <c r="F18" s="734"/>
      <c r="G18" s="734"/>
      <c r="H18" s="734">
        <f>E18/12*12</f>
        <v>56290000</v>
      </c>
      <c r="I18" s="258">
        <f t="shared" si="1"/>
        <v>56290000</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19000000</v>
      </c>
      <c r="E27" s="408">
        <f t="shared" si="6"/>
        <v>19000000</v>
      </c>
      <c r="F27" s="408">
        <f t="shared" si="6"/>
        <v>0</v>
      </c>
      <c r="G27" s="408">
        <f t="shared" si="6"/>
        <v>0</v>
      </c>
      <c r="H27" s="408">
        <f t="shared" si="6"/>
        <v>19000000</v>
      </c>
      <c r="I27" s="258">
        <f t="shared" si="1"/>
        <v>19000000</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E30/12*12</f>
        <v>19000000</v>
      </c>
      <c r="I30" s="258">
        <f t="shared" si="1"/>
        <v>19000000</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14356244</v>
      </c>
      <c r="E45" s="408">
        <f t="shared" si="8"/>
        <v>14356244</v>
      </c>
      <c r="F45" s="408">
        <f t="shared" si="8"/>
        <v>0</v>
      </c>
      <c r="G45" s="408">
        <f t="shared" si="8"/>
        <v>0</v>
      </c>
      <c r="H45" s="408">
        <f t="shared" si="8"/>
        <v>14356244</v>
      </c>
      <c r="I45" s="258">
        <f t="shared" si="1"/>
        <v>14356244</v>
      </c>
      <c r="J45" s="576">
        <f t="shared" si="2"/>
        <v>1</v>
      </c>
      <c r="K45" s="643">
        <f>SUM(K46:K52)</f>
        <v>14356244</v>
      </c>
    </row>
    <row r="46" spans="1:11" ht="12.75" customHeight="1" x14ac:dyDescent="0.25">
      <c r="A46" s="575" t="s">
        <v>1262</v>
      </c>
      <c r="B46" s="169"/>
      <c r="C46" s="749"/>
      <c r="D46" s="746">
        <v>14356244</v>
      </c>
      <c r="E46" s="734">
        <v>14356244</v>
      </c>
      <c r="F46" s="734"/>
      <c r="G46" s="734"/>
      <c r="H46" s="734">
        <f>E46/12*12</f>
        <v>14356244</v>
      </c>
      <c r="I46" s="258">
        <f t="shared" si="1"/>
        <v>14356244</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14143500</v>
      </c>
      <c r="E103" s="99">
        <f t="shared" si="15"/>
        <v>14143500</v>
      </c>
      <c r="F103" s="99">
        <f t="shared" si="15"/>
        <v>54441542.079999998</v>
      </c>
      <c r="G103" s="99">
        <f t="shared" si="15"/>
        <v>201733761.11000001</v>
      </c>
      <c r="H103" s="99">
        <f t="shared" si="15"/>
        <v>14143500</v>
      </c>
      <c r="I103" s="99">
        <f t="shared" si="1"/>
        <v>-187590261.11000001</v>
      </c>
      <c r="J103" s="324">
        <f t="shared" si="2"/>
        <v>-13.263354976490968</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v>54441542.079999998</v>
      </c>
      <c r="G108" s="734">
        <v>201733761.11000001</v>
      </c>
      <c r="H108" s="734">
        <f>E108/12*12</f>
        <v>14143500</v>
      </c>
      <c r="I108" s="44">
        <f t="shared" si="1"/>
        <v>-187590261.11000001</v>
      </c>
      <c r="J108" s="124">
        <f t="shared" si="2"/>
        <v>-13.263354976490968</v>
      </c>
      <c r="K108" s="736">
        <f>E108</f>
        <v>14143500</v>
      </c>
    </row>
    <row r="109" spans="1:11" ht="5.0999999999999996" customHeight="1" x14ac:dyDescent="0.25">
      <c r="A109" s="939"/>
      <c r="B109" s="169"/>
      <c r="C109" s="134"/>
      <c r="D109" s="258"/>
      <c r="E109" s="44"/>
      <c r="F109" s="44"/>
      <c r="G109" s="44"/>
      <c r="H109" s="44"/>
      <c r="I109" s="44">
        <f t="shared" si="1"/>
        <v>0</v>
      </c>
      <c r="J109" s="124" t="str">
        <f t="shared" si="2"/>
        <v/>
      </c>
      <c r="K109" s="144"/>
    </row>
    <row r="110" spans="1:11" ht="12.75" customHeight="1" x14ac:dyDescent="0.25">
      <c r="A110" s="940"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0"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1">
        <f t="shared" ref="C138:H138" si="24">SUM(C139:C140)</f>
        <v>0</v>
      </c>
      <c r="D138" s="942">
        <f t="shared" si="24"/>
        <v>0</v>
      </c>
      <c r="E138" s="943">
        <f t="shared" si="24"/>
        <v>0</v>
      </c>
      <c r="F138" s="943">
        <f t="shared" si="24"/>
        <v>0</v>
      </c>
      <c r="G138" s="943">
        <f t="shared" si="24"/>
        <v>0</v>
      </c>
      <c r="H138" s="943">
        <f t="shared" si="24"/>
        <v>0</v>
      </c>
      <c r="I138" s="943">
        <f t="shared" ref="I138:I146" si="25">H138-G138</f>
        <v>0</v>
      </c>
      <c r="J138" s="324" t="str">
        <f t="shared" si="23"/>
        <v/>
      </c>
      <c r="K138" s="944">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600000</v>
      </c>
      <c r="E148" s="579">
        <f t="shared" si="27"/>
        <v>600000</v>
      </c>
      <c r="F148" s="579">
        <f t="shared" si="27"/>
        <v>0</v>
      </c>
      <c r="G148" s="579">
        <f t="shared" si="27"/>
        <v>0</v>
      </c>
      <c r="H148" s="579">
        <f t="shared" si="27"/>
        <v>600000</v>
      </c>
      <c r="I148" s="579">
        <f>H148-G148</f>
        <v>600000</v>
      </c>
      <c r="J148" s="324">
        <f>IF(I148=0,"",I148/H148)</f>
        <v>1</v>
      </c>
      <c r="K148" s="581">
        <f>SUM(K149)</f>
        <v>600000</v>
      </c>
    </row>
    <row r="149" spans="1:12" ht="12.75" customHeight="1" x14ac:dyDescent="0.25">
      <c r="A149" s="518" t="s">
        <v>1334</v>
      </c>
      <c r="B149" s="169"/>
      <c r="C149" s="749"/>
      <c r="D149" s="754">
        <v>600000</v>
      </c>
      <c r="E149" s="734">
        <v>600000</v>
      </c>
      <c r="F149" s="734"/>
      <c r="G149" s="734"/>
      <c r="H149" s="734">
        <f>E149/12*12</f>
        <v>600000</v>
      </c>
      <c r="I149" s="44">
        <f>H149-G149</f>
        <v>600000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100000</v>
      </c>
      <c r="E151" s="579">
        <f t="shared" si="28"/>
        <v>100000</v>
      </c>
      <c r="F151" s="579">
        <f t="shared" si="28"/>
        <v>0</v>
      </c>
      <c r="G151" s="579">
        <f t="shared" si="28"/>
        <v>0</v>
      </c>
      <c r="H151" s="579">
        <f t="shared" si="28"/>
        <v>100000</v>
      </c>
      <c r="I151" s="579">
        <f>H151-G151</f>
        <v>100000</v>
      </c>
      <c r="J151" s="324">
        <f>IF(I151=0,"",I151/H151)</f>
        <v>1</v>
      </c>
      <c r="K151" s="581">
        <f>SUM(K152)</f>
        <v>100000</v>
      </c>
    </row>
    <row r="152" spans="1:12" ht="12.75" customHeight="1" x14ac:dyDescent="0.25">
      <c r="A152" s="518" t="s">
        <v>1335</v>
      </c>
      <c r="B152" s="169"/>
      <c r="C152" s="749"/>
      <c r="D152" s="754">
        <v>100000</v>
      </c>
      <c r="E152" s="734">
        <v>100000</v>
      </c>
      <c r="F152" s="734"/>
      <c r="G152" s="734"/>
      <c r="H152" s="734">
        <f>E152/12*12</f>
        <v>100000</v>
      </c>
      <c r="I152" s="44">
        <f>H152-G152</f>
        <v>100000</v>
      </c>
      <c r="J152" s="124">
        <f>IF(I152=0,"",I152/H152)</f>
        <v>1</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0</v>
      </c>
      <c r="E154" s="579">
        <f t="shared" si="29"/>
        <v>0</v>
      </c>
      <c r="F154" s="579">
        <f t="shared" si="29"/>
        <v>5994</v>
      </c>
      <c r="G154" s="579">
        <f t="shared" si="29"/>
        <v>15562.55</v>
      </c>
      <c r="H154" s="579">
        <f t="shared" si="29"/>
        <v>0</v>
      </c>
      <c r="I154" s="579">
        <f>H154-G154</f>
        <v>-15562.55</v>
      </c>
      <c r="J154" s="324" t="e">
        <f>IF(I154=0,"",I154/H154)</f>
        <v>#DIV/0!</v>
      </c>
      <c r="K154" s="581">
        <f>SUM(K155)</f>
        <v>0</v>
      </c>
    </row>
    <row r="155" spans="1:12" ht="12.75" customHeight="1" x14ac:dyDescent="0.25">
      <c r="A155" s="518" t="s">
        <v>1336</v>
      </c>
      <c r="B155" s="169"/>
      <c r="C155" s="749"/>
      <c r="D155" s="754"/>
      <c r="E155" s="734"/>
      <c r="F155" s="734">
        <v>5994</v>
      </c>
      <c r="G155" s="734">
        <v>15562.55</v>
      </c>
      <c r="H155" s="734"/>
      <c r="I155" s="44">
        <f>H155-G155</f>
        <v>-15562.55</v>
      </c>
      <c r="J155" s="124" t="e">
        <f>IF(I155=0,"",I155/H155)</f>
        <v>#DIV/0!</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167714800</v>
      </c>
      <c r="E157" s="579">
        <f t="shared" si="30"/>
        <v>167714800</v>
      </c>
      <c r="F157" s="579">
        <f t="shared" si="30"/>
        <v>560901</v>
      </c>
      <c r="G157" s="579">
        <f t="shared" si="30"/>
        <v>-6604571.5</v>
      </c>
      <c r="H157" s="579">
        <f t="shared" si="30"/>
        <v>167714800</v>
      </c>
      <c r="I157" s="579">
        <f>H157-G157</f>
        <v>174319371.5</v>
      </c>
      <c r="J157" s="324">
        <f>IF(I157=0,"",I157/H157)</f>
        <v>1.0393797774555376</v>
      </c>
      <c r="K157" s="581">
        <f>SUM(K158)</f>
        <v>167714800</v>
      </c>
    </row>
    <row r="158" spans="1:12" ht="12.75" customHeight="1" x14ac:dyDescent="0.25">
      <c r="A158" s="518" t="s">
        <v>1337</v>
      </c>
      <c r="B158" s="169"/>
      <c r="C158" s="749"/>
      <c r="D158" s="754">
        <v>167714800</v>
      </c>
      <c r="E158" s="734">
        <v>167714800</v>
      </c>
      <c r="F158" s="734">
        <v>560901</v>
      </c>
      <c r="G158" s="734">
        <v>-6604571.5</v>
      </c>
      <c r="H158" s="734">
        <f>E158/12*12</f>
        <v>167714800</v>
      </c>
      <c r="I158" s="44">
        <f>H158-G158</f>
        <v>174319371.5</v>
      </c>
      <c r="J158" s="124">
        <f>IF(I158=0,"",I158/H158)</f>
        <v>1.0393797774555376</v>
      </c>
      <c r="K158" s="736">
        <f>E158</f>
        <v>167714800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33">C7+C75+C103+C110+C117+C135+C138+C148+C151+C154+C157+C160+C163</f>
        <v>0</v>
      </c>
      <c r="D166" s="271">
        <f t="shared" si="33"/>
        <v>380904544.39999998</v>
      </c>
      <c r="E166" s="55">
        <f t="shared" si="33"/>
        <v>380904544.39999998</v>
      </c>
      <c r="F166" s="55">
        <f t="shared" si="33"/>
        <v>55008437.079999998</v>
      </c>
      <c r="G166" s="55">
        <f t="shared" si="33"/>
        <v>195144752.16000003</v>
      </c>
      <c r="H166" s="55">
        <f t="shared" si="33"/>
        <v>380904544.39999998</v>
      </c>
      <c r="I166" s="55">
        <f>H166-G166</f>
        <v>185759792.23999995</v>
      </c>
      <c r="J166" s="290">
        <f>IF(I166=0,"",I166/H166)</f>
        <v>0.48768069315793638</v>
      </c>
      <c r="K166" s="235">
        <f>K7+K75+K103+K110+K117+K135+K138+K148+K151+K154+K157+K160+K163</f>
        <v>380904544.39999998</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91" workbookViewId="0">
      <selection activeCell="B103" sqref="B103"/>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51123878.416666664</v>
      </c>
      <c r="C3" s="43">
        <f>'SC12'!C6</f>
        <v>62228094.725833334</v>
      </c>
      <c r="D3" s="43">
        <f>'SC12'!D6</f>
        <v>58394184.533333331</v>
      </c>
      <c r="E3" s="45">
        <f>'SC12'!E6</f>
        <v>-2354849.52</v>
      </c>
      <c r="F3" s="43"/>
      <c r="G3" s="43"/>
      <c r="H3" s="43"/>
      <c r="I3" s="43"/>
      <c r="J3" s="43"/>
      <c r="K3" s="43"/>
    </row>
    <row r="4" spans="1:11" x14ac:dyDescent="0.25">
      <c r="A4" s="42" t="str">
        <f>LEFT('SC12'!A7,3)</f>
        <v>Aug</v>
      </c>
      <c r="B4" s="43">
        <f>'SC12'!B7</f>
        <v>51123878.416666664</v>
      </c>
      <c r="C4" s="43">
        <f>'SC12'!C7</f>
        <v>62228094.725833334</v>
      </c>
      <c r="D4" s="43">
        <f>'SC12'!D7</f>
        <v>58394184.533333331</v>
      </c>
      <c r="E4" s="45">
        <f>'SC12'!E7</f>
        <v>27946048.879999999</v>
      </c>
      <c r="F4" s="43"/>
      <c r="G4" s="43"/>
      <c r="H4" s="43"/>
      <c r="I4" s="43"/>
      <c r="J4" s="43"/>
      <c r="K4" s="43"/>
    </row>
    <row r="5" spans="1:11" x14ac:dyDescent="0.25">
      <c r="A5" s="42" t="str">
        <f>LEFT('SC12'!A8,3)</f>
        <v>Sep</v>
      </c>
      <c r="B5" s="43">
        <f>'SC12'!B8</f>
        <v>51123878.416666664</v>
      </c>
      <c r="C5" s="43">
        <f>'SC12'!C8</f>
        <v>62228094.725833334</v>
      </c>
      <c r="D5" s="43">
        <f>'SC12'!D8</f>
        <v>58394184.533333331</v>
      </c>
      <c r="E5" s="45">
        <f>'SC12'!E8</f>
        <v>44817031.049999997</v>
      </c>
      <c r="F5" s="43"/>
      <c r="G5" s="43"/>
      <c r="H5" s="43"/>
      <c r="I5" s="43"/>
      <c r="J5" s="43"/>
      <c r="K5" s="43"/>
    </row>
    <row r="6" spans="1:11" x14ac:dyDescent="0.25">
      <c r="A6" s="42" t="str">
        <f>LEFT('SC12'!A9,3)</f>
        <v>Oct</v>
      </c>
      <c r="B6" s="43">
        <f>'SC12'!B9</f>
        <v>51123878.416666664</v>
      </c>
      <c r="C6" s="43">
        <f>'SC12'!C9</f>
        <v>62228094.725833334</v>
      </c>
      <c r="D6" s="43">
        <f>'SC12'!D9</f>
        <v>58394184.533333331</v>
      </c>
      <c r="E6" s="45">
        <f>'SC12'!E9</f>
        <v>34585671.619999997</v>
      </c>
      <c r="F6" s="43"/>
      <c r="G6" s="43"/>
      <c r="H6" s="43"/>
      <c r="I6" s="43"/>
      <c r="J6" s="43"/>
      <c r="K6" s="43"/>
    </row>
    <row r="7" spans="1:11" x14ac:dyDescent="0.25">
      <c r="A7" s="42" t="str">
        <f>LEFT('SC12'!A10,3)</f>
        <v>Nov</v>
      </c>
      <c r="B7" s="43">
        <f>'SC12'!B10</f>
        <v>51123878.416666664</v>
      </c>
      <c r="C7" s="43">
        <f>'SC12'!C10</f>
        <v>62228094.725833334</v>
      </c>
      <c r="D7" s="43">
        <f>'SC12'!D10</f>
        <v>58394184.533333331</v>
      </c>
      <c r="E7" s="45">
        <f>'SC12'!E10</f>
        <v>30684238.440000001</v>
      </c>
      <c r="F7" s="43"/>
      <c r="G7" s="43"/>
      <c r="H7" s="43"/>
      <c r="I7" s="43"/>
      <c r="J7" s="43"/>
      <c r="K7" s="43"/>
    </row>
    <row r="8" spans="1:11" x14ac:dyDescent="0.25">
      <c r="A8" s="42" t="str">
        <f>LEFT('SC12'!A11,3)</f>
        <v>Dec</v>
      </c>
      <c r="B8" s="43">
        <f>'SC12'!B11</f>
        <v>51123878.416666664</v>
      </c>
      <c r="C8" s="43">
        <f>'SC12'!C11</f>
        <v>62228094.725833334</v>
      </c>
      <c r="D8" s="43">
        <f>'SC12'!D11</f>
        <v>58394184.533333331</v>
      </c>
      <c r="E8" s="45">
        <f>'SC12'!E11</f>
        <v>49297719.75</v>
      </c>
      <c r="F8" s="43"/>
      <c r="G8" s="43"/>
      <c r="H8" s="43"/>
      <c r="I8" s="43"/>
      <c r="J8" s="43"/>
      <c r="K8" s="43"/>
    </row>
    <row r="9" spans="1:11" x14ac:dyDescent="0.25">
      <c r="A9" s="42" t="str">
        <f>LEFT('SC12'!A12,3)</f>
        <v>Jan</v>
      </c>
      <c r="B9" s="43">
        <f>'SC12'!B12</f>
        <v>51123878.416666664</v>
      </c>
      <c r="C9" s="43">
        <f>'SC12'!C12</f>
        <v>62228094.725833334</v>
      </c>
      <c r="D9" s="43">
        <f>'SC12'!D12</f>
        <v>58394184.533333331</v>
      </c>
      <c r="E9" s="45">
        <f>'SC12'!E12</f>
        <v>18688136.899999999</v>
      </c>
      <c r="F9" s="43"/>
      <c r="G9" s="43"/>
      <c r="H9" s="43"/>
      <c r="I9" s="43"/>
      <c r="J9" s="43"/>
      <c r="K9" s="43"/>
    </row>
    <row r="10" spans="1:11" x14ac:dyDescent="0.25">
      <c r="A10" s="42" t="str">
        <f>LEFT('SC12'!A13,3)</f>
        <v>Feb</v>
      </c>
      <c r="B10" s="43">
        <f>'SC12'!B13</f>
        <v>51123878.416666664</v>
      </c>
      <c r="C10" s="43">
        <f>'SC12'!C13</f>
        <v>62228094.725833334</v>
      </c>
      <c r="D10" s="43">
        <f>'SC12'!D13</f>
        <v>58394184.533333331</v>
      </c>
      <c r="E10" s="45">
        <f>'SC12'!E13</f>
        <v>22481573.649999999</v>
      </c>
      <c r="F10" s="43"/>
      <c r="G10" s="43"/>
      <c r="H10" s="43"/>
      <c r="I10" s="43"/>
      <c r="J10" s="43"/>
      <c r="K10" s="43"/>
    </row>
    <row r="11" spans="1:11" x14ac:dyDescent="0.25">
      <c r="A11" s="42" t="str">
        <f>LEFT('SC12'!A14,3)</f>
        <v>Mar</v>
      </c>
      <c r="B11" s="43">
        <f>'SC12'!B14</f>
        <v>51123878.416666664</v>
      </c>
      <c r="C11" s="43">
        <f>'SC12'!C14</f>
        <v>62228094.725833334</v>
      </c>
      <c r="D11" s="43">
        <f>'SC12'!D14</f>
        <v>58394184.533333331</v>
      </c>
      <c r="E11" s="45">
        <f>'SC12'!E14</f>
        <v>23150031.02</v>
      </c>
      <c r="F11" s="43"/>
      <c r="G11" s="43"/>
      <c r="H11" s="43"/>
      <c r="I11" s="43"/>
      <c r="J11" s="43"/>
      <c r="K11" s="43"/>
    </row>
    <row r="12" spans="1:11" x14ac:dyDescent="0.25">
      <c r="A12" s="42" t="str">
        <f>LEFT('SC12'!A15,3)</f>
        <v>Apr</v>
      </c>
      <c r="B12" s="43">
        <f>'SC12'!B15</f>
        <v>51123878.416666664</v>
      </c>
      <c r="C12" s="43">
        <f>'SC12'!C15</f>
        <v>62228094.725833334</v>
      </c>
      <c r="D12" s="43">
        <f>'SC12'!D15</f>
        <v>58394184.533333331</v>
      </c>
      <c r="E12" s="45">
        <f>'SC12'!E15</f>
        <v>13115388.32</v>
      </c>
      <c r="F12" s="43"/>
      <c r="G12" s="43"/>
      <c r="H12" s="43"/>
      <c r="I12" s="43"/>
      <c r="J12" s="43"/>
      <c r="K12" s="43"/>
    </row>
    <row r="13" spans="1:11" x14ac:dyDescent="0.25">
      <c r="A13" s="42" t="str">
        <f>LEFT('SC12'!A16,3)</f>
        <v>May</v>
      </c>
      <c r="B13" s="43">
        <f>'SC12'!B16</f>
        <v>51123878.416666664</v>
      </c>
      <c r="C13" s="43">
        <f>'SC12'!C16</f>
        <v>62228094.725833334</v>
      </c>
      <c r="D13" s="43">
        <f>'SC12'!D16</f>
        <v>58394184.533333331</v>
      </c>
      <c r="E13" s="45">
        <f>'SC12'!E16</f>
        <v>25635023.07</v>
      </c>
      <c r="F13" s="43"/>
      <c r="G13" s="43"/>
      <c r="H13" s="43"/>
      <c r="I13" s="43"/>
      <c r="J13" s="43"/>
      <c r="K13" s="43"/>
    </row>
    <row r="14" spans="1:11" x14ac:dyDescent="0.25">
      <c r="A14" s="91" t="str">
        <f>LEFT('SC12'!A17,3)</f>
        <v>Jun</v>
      </c>
      <c r="B14" s="356">
        <f>'SC12'!B17</f>
        <v>51123878.416666664</v>
      </c>
      <c r="C14" s="356">
        <f>'SC12'!C17</f>
        <v>62228094.725833334</v>
      </c>
      <c r="D14" s="356">
        <f>'SC12'!D17</f>
        <v>58394184.533333331</v>
      </c>
      <c r="E14" s="357">
        <f>'SC12'!E17</f>
        <v>132007206.05</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t="str">
        <f>'SC12'!F6</f>
        <v/>
      </c>
      <c r="C28" s="362">
        <f>'SC12'!G6</f>
        <v>58394184.533333331</v>
      </c>
      <c r="D28" s="43"/>
      <c r="E28" s="43"/>
      <c r="F28" s="43"/>
      <c r="G28" s="43"/>
      <c r="H28" s="43"/>
      <c r="I28" s="43"/>
    </row>
    <row r="29" spans="1:10" x14ac:dyDescent="0.25">
      <c r="A29" s="42" t="str">
        <f>LEFT('SC12'!A7,3)</f>
        <v>Aug</v>
      </c>
      <c r="B29" s="43" t="e">
        <f>'SC12'!F7</f>
        <v>#VALUE!</v>
      </c>
      <c r="C29" s="45">
        <f>'SC12'!G7</f>
        <v>116788369.06666666</v>
      </c>
      <c r="D29" s="43"/>
      <c r="E29" s="43"/>
      <c r="F29" s="43"/>
      <c r="G29" s="43"/>
      <c r="H29" s="43"/>
      <c r="I29" s="43"/>
    </row>
    <row r="30" spans="1:10" x14ac:dyDescent="0.25">
      <c r="A30" s="42" t="str">
        <f>LEFT('SC12'!A8,3)</f>
        <v>Sep</v>
      </c>
      <c r="B30" s="43" t="e">
        <f>'SC12'!F8</f>
        <v>#VALUE!</v>
      </c>
      <c r="C30" s="45">
        <f>'SC12'!G8</f>
        <v>175182553.59999999</v>
      </c>
      <c r="D30" s="43"/>
      <c r="E30" s="43"/>
      <c r="F30" s="43"/>
      <c r="G30" s="43"/>
      <c r="H30" s="43"/>
      <c r="I30" s="43"/>
    </row>
    <row r="31" spans="1:10" x14ac:dyDescent="0.25">
      <c r="A31" s="42" t="str">
        <f>LEFT('SC12'!A9,3)</f>
        <v>Oct</v>
      </c>
      <c r="B31" s="43" t="e">
        <f>'SC12'!F9</f>
        <v>#VALUE!</v>
      </c>
      <c r="C31" s="45">
        <f>'SC12'!G9</f>
        <v>233576738.13333333</v>
      </c>
      <c r="D31" s="43"/>
      <c r="E31" s="43"/>
      <c r="F31" s="43"/>
      <c r="G31" s="43"/>
      <c r="H31" s="43"/>
      <c r="I31" s="43"/>
    </row>
    <row r="32" spans="1:10" x14ac:dyDescent="0.25">
      <c r="A32" s="42" t="str">
        <f>LEFT('SC12'!A10,3)</f>
        <v>Nov</v>
      </c>
      <c r="B32" s="43" t="e">
        <f>'SC12'!F10</f>
        <v>#VALUE!</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e">
        <f>'SC12'!F14</f>
        <v>#VALUE!</v>
      </c>
      <c r="C36" s="45">
        <f>'SC12'!G14</f>
        <v>525547660.79999983</v>
      </c>
      <c r="D36" s="43"/>
      <c r="E36" s="43"/>
      <c r="F36" s="43"/>
      <c r="G36" s="43"/>
      <c r="H36" s="43"/>
      <c r="I36" s="43"/>
    </row>
    <row r="37" spans="1:9" x14ac:dyDescent="0.25">
      <c r="A37" s="42" t="str">
        <f>LEFT('SC12'!A15,3)</f>
        <v>Apr</v>
      </c>
      <c r="B37" s="43" t="e">
        <f>'SC12'!F15</f>
        <v>#VALUE!</v>
      </c>
      <c r="C37" s="45">
        <f>'SC12'!G15</f>
        <v>583941845.33333313</v>
      </c>
      <c r="D37" s="43"/>
      <c r="E37" s="43"/>
      <c r="F37" s="43"/>
      <c r="G37" s="43"/>
      <c r="H37" s="43"/>
      <c r="I37" s="43"/>
    </row>
    <row r="38" spans="1:9" x14ac:dyDescent="0.25">
      <c r="A38" s="42" t="str">
        <f>LEFT('SC12'!A16,3)</f>
        <v>May</v>
      </c>
      <c r="B38" s="43" t="e">
        <f>'SC12'!F16</f>
        <v>#VALUE!</v>
      </c>
      <c r="C38" s="45">
        <f>'SC12'!G16</f>
        <v>642336029.86666644</v>
      </c>
      <c r="D38" s="43"/>
      <c r="E38" s="43"/>
      <c r="F38" s="43"/>
      <c r="G38" s="43"/>
      <c r="H38" s="43"/>
      <c r="I38" s="43"/>
    </row>
    <row r="39" spans="1:9" x14ac:dyDescent="0.25">
      <c r="A39" s="91" t="str">
        <f>LEFT('SC12'!A17,3)</f>
        <v>Jun</v>
      </c>
      <c r="B39" s="356" t="e">
        <f>'SC12'!F17</f>
        <v>#VALUE!</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704600774.9000001</v>
      </c>
      <c r="C53" s="43">
        <f>'SC3'!D14</f>
        <v>-4325301.0500000007</v>
      </c>
      <c r="D53" s="43">
        <f>'SC3'!E14</f>
        <v>117682805.63</v>
      </c>
      <c r="E53" s="43">
        <f>'SC3'!F14</f>
        <v>101021025.72999999</v>
      </c>
      <c r="F53" s="43">
        <f>'SC3'!G14</f>
        <v>97617113.170000002</v>
      </c>
      <c r="G53" s="43">
        <f>'SC3'!H14</f>
        <v>89416119.01000002</v>
      </c>
      <c r="H53" s="43">
        <f>'SC3'!I14</f>
        <v>534223289.34000009</v>
      </c>
      <c r="I53" s="43">
        <f>'SC3'!J14</f>
        <v>2831952593.4300003</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661227995.12530005</v>
      </c>
      <c r="C78" s="43">
        <f>'SC3'!K17</f>
        <v>681678345.49000001</v>
      </c>
      <c r="D78" s="43"/>
      <c r="E78" s="43"/>
      <c r="F78" s="43"/>
      <c r="G78" s="43"/>
      <c r="H78" s="43"/>
      <c r="I78" s="43"/>
      <c r="J78" s="43"/>
    </row>
    <row r="79" spans="1:10" x14ac:dyDescent="0.25">
      <c r="A79" s="61" t="str">
        <f>'SC3'!A18</f>
        <v>Commercial</v>
      </c>
      <c r="B79" s="43">
        <f>C79*0.97</f>
        <v>201154939.71469998</v>
      </c>
      <c r="C79" s="43">
        <f>'SC3'!K18</f>
        <v>207376226.50999999</v>
      </c>
      <c r="D79" s="43"/>
      <c r="E79" s="43"/>
      <c r="F79" s="43"/>
      <c r="G79" s="43"/>
      <c r="H79" s="43"/>
      <c r="I79" s="43"/>
      <c r="J79" s="43"/>
    </row>
    <row r="80" spans="1:10" x14ac:dyDescent="0.25">
      <c r="A80" s="61" t="str">
        <f>'SC3'!A19</f>
        <v>Households</v>
      </c>
      <c r="B80" s="43">
        <f>C80*0.97</f>
        <v>3191020690.1101999</v>
      </c>
      <c r="C80" s="43">
        <f>'SC3'!K19</f>
        <v>3289712051.6599998</v>
      </c>
    </row>
    <row r="81" spans="1:3" x14ac:dyDescent="0.25">
      <c r="A81" s="61" t="str">
        <f>'SC3'!A20</f>
        <v>Other</v>
      </c>
      <c r="B81" s="43">
        <f>C81*0.97</f>
        <v>284619142.60500002</v>
      </c>
      <c r="C81" s="43">
        <f>'SC3'!K20</f>
        <v>293421796.5</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209470837</v>
      </c>
      <c r="C103" s="405">
        <f>'SC4'!L7</f>
        <v>77149902</v>
      </c>
      <c r="D103" s="405">
        <f>'SC4'!L8</f>
        <v>0</v>
      </c>
      <c r="E103" s="405">
        <f>'SC4'!L9</f>
        <v>145670375</v>
      </c>
      <c r="F103" s="405">
        <f>'SC4'!L10</f>
        <v>0</v>
      </c>
      <c r="G103" s="405">
        <f>'SC4'!L11</f>
        <v>0</v>
      </c>
      <c r="H103" s="405">
        <f>'SC4'!L12</f>
        <v>201489432</v>
      </c>
      <c r="I103" s="405">
        <f>'SC4'!L13</f>
        <v>0</v>
      </c>
      <c r="J103" s="405">
        <f>'SC4'!L14</f>
        <v>356936386</v>
      </c>
    </row>
    <row r="104" spans="1:10" x14ac:dyDescent="0.25">
      <c r="A104" s="61" t="str">
        <f>A53</f>
        <v>Budget Year 2019/20</v>
      </c>
      <c r="B104" s="43">
        <f>'SC4'!K6</f>
        <v>383516062.98000002</v>
      </c>
      <c r="C104" s="43">
        <f>'SC4'!K7</f>
        <v>199793607.49000001</v>
      </c>
      <c r="D104" s="43">
        <f>'SC4'!K8</f>
        <v>0</v>
      </c>
      <c r="E104" s="43">
        <f>'SC4'!K9</f>
        <v>177794476.61000001</v>
      </c>
      <c r="F104" s="43">
        <f>'SC4'!K10</f>
        <v>0</v>
      </c>
      <c r="G104" s="43">
        <f>'SC4'!K11</f>
        <v>0</v>
      </c>
      <c r="H104" s="43">
        <f>'SC4'!K12</f>
        <v>139124965.31999999</v>
      </c>
      <c r="I104" s="43">
        <f>'SC4'!K13</f>
        <v>444019.49</v>
      </c>
      <c r="J104" s="43">
        <f>'SC4'!K14</f>
        <v>488555913.69</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6" t="s">
        <v>189</v>
      </c>
      <c r="C28" s="1" t="s">
        <v>190</v>
      </c>
    </row>
    <row r="29" spans="1:3" ht="12.75" x14ac:dyDescent="0.2">
      <c r="B29" s="922" t="s">
        <v>1080</v>
      </c>
      <c r="C29" s="945" t="s">
        <v>1349</v>
      </c>
    </row>
    <row r="30" spans="1:3" ht="12.75" x14ac:dyDescent="0.2">
      <c r="B30" s="922" t="s">
        <v>1081</v>
      </c>
      <c r="C30" s="946" t="s">
        <v>1349</v>
      </c>
    </row>
    <row r="31" spans="1:3" ht="12.75" x14ac:dyDescent="0.2">
      <c r="B31" s="922" t="s">
        <v>1350</v>
      </c>
      <c r="C31" s="945" t="s">
        <v>1349</v>
      </c>
    </row>
    <row r="32" spans="1:3" ht="12.75" x14ac:dyDescent="0.2">
      <c r="B32" s="922" t="s">
        <v>225</v>
      </c>
      <c r="C32" s="945" t="s">
        <v>1349</v>
      </c>
    </row>
    <row r="33" spans="2:3" ht="12.75" x14ac:dyDescent="0.2">
      <c r="B33" s="922" t="s">
        <v>226</v>
      </c>
      <c r="C33" s="945" t="s">
        <v>1349</v>
      </c>
    </row>
    <row r="34" spans="2:3" ht="12.75" x14ac:dyDescent="0.2">
      <c r="B34" s="922" t="s">
        <v>227</v>
      </c>
      <c r="C34" s="945" t="s">
        <v>1349</v>
      </c>
    </row>
    <row r="35" spans="2:3" ht="12.75" x14ac:dyDescent="0.2">
      <c r="B35" s="922" t="s">
        <v>228</v>
      </c>
      <c r="C35" s="945" t="s">
        <v>1349</v>
      </c>
    </row>
    <row r="36" spans="2:3" ht="12.75" x14ac:dyDescent="0.2">
      <c r="B36" s="922" t="s">
        <v>229</v>
      </c>
      <c r="C36" s="946" t="s">
        <v>1349</v>
      </c>
    </row>
    <row r="37" spans="2:3" ht="12.75" x14ac:dyDescent="0.2">
      <c r="B37" s="922" t="s">
        <v>989</v>
      </c>
      <c r="C37" s="945" t="s">
        <v>1349</v>
      </c>
    </row>
    <row r="38" spans="2:3" ht="12.75" x14ac:dyDescent="0.2">
      <c r="B38" s="922" t="s">
        <v>1115</v>
      </c>
      <c r="C38" s="920" t="s">
        <v>1349</v>
      </c>
    </row>
    <row r="39" spans="2:3" ht="12.75" x14ac:dyDescent="0.2">
      <c r="B39" s="922" t="s">
        <v>230</v>
      </c>
      <c r="C39" s="920" t="s">
        <v>1349</v>
      </c>
    </row>
    <row r="40" spans="2:3" ht="12.75" x14ac:dyDescent="0.2">
      <c r="B40" s="922" t="s">
        <v>231</v>
      </c>
      <c r="C40" s="892" t="s">
        <v>1349</v>
      </c>
    </row>
    <row r="41" spans="2:3" ht="12.75" x14ac:dyDescent="0.2">
      <c r="B41" s="922" t="s">
        <v>232</v>
      </c>
      <c r="C41" s="892" t="s">
        <v>1349</v>
      </c>
    </row>
    <row r="42" spans="2:3" ht="12.75" x14ac:dyDescent="0.2">
      <c r="B42" s="922" t="s">
        <v>233</v>
      </c>
      <c r="C42" s="892" t="s">
        <v>1349</v>
      </c>
    </row>
    <row r="43" spans="2:3" ht="12.75" x14ac:dyDescent="0.2">
      <c r="B43" s="922" t="s">
        <v>234</v>
      </c>
      <c r="C43" s="892" t="s">
        <v>1349</v>
      </c>
    </row>
    <row r="44" spans="2:3" ht="12.75" x14ac:dyDescent="0.2">
      <c r="B44" s="947" t="s">
        <v>1119</v>
      </c>
      <c r="C44" s="892" t="s">
        <v>1349</v>
      </c>
    </row>
    <row r="45" spans="2:3" ht="12.75" x14ac:dyDescent="0.2">
      <c r="B45" s="922" t="s">
        <v>192</v>
      </c>
      <c r="C45" s="892" t="s">
        <v>1349</v>
      </c>
    </row>
    <row r="46" spans="2:3" ht="12.75" x14ac:dyDescent="0.2">
      <c r="B46" s="922" t="s">
        <v>235</v>
      </c>
      <c r="C46" s="892" t="s">
        <v>1349</v>
      </c>
    </row>
    <row r="47" spans="2:3" ht="12.75" x14ac:dyDescent="0.2">
      <c r="B47" s="922" t="s">
        <v>236</v>
      </c>
      <c r="C47" s="892" t="s">
        <v>1349</v>
      </c>
    </row>
    <row r="48" spans="2:3" ht="12.75" x14ac:dyDescent="0.2">
      <c r="B48" s="922" t="s">
        <v>237</v>
      </c>
      <c r="C48" s="892" t="s">
        <v>1349</v>
      </c>
    </row>
    <row r="49" spans="2:3" ht="12.75" x14ac:dyDescent="0.2">
      <c r="B49" s="922" t="s">
        <v>238</v>
      </c>
      <c r="C49" s="892" t="s">
        <v>1349</v>
      </c>
    </row>
    <row r="50" spans="2:3" ht="12.75" x14ac:dyDescent="0.2">
      <c r="B50" s="922" t="s">
        <v>239</v>
      </c>
      <c r="C50" s="920" t="s">
        <v>1349</v>
      </c>
    </row>
    <row r="51" spans="2:3" ht="12.75" x14ac:dyDescent="0.2">
      <c r="B51" s="947" t="s">
        <v>1120</v>
      </c>
      <c r="C51" s="920" t="s">
        <v>1349</v>
      </c>
    </row>
    <row r="52" spans="2:3" ht="12.75" x14ac:dyDescent="0.2">
      <c r="B52" s="922" t="s">
        <v>193</v>
      </c>
      <c r="C52" s="920" t="s">
        <v>1349</v>
      </c>
    </row>
    <row r="53" spans="2:3" ht="12.75" x14ac:dyDescent="0.2">
      <c r="B53" s="922" t="s">
        <v>240</v>
      </c>
      <c r="C53" s="920" t="s">
        <v>1349</v>
      </c>
    </row>
    <row r="54" spans="2:3" ht="12.75" x14ac:dyDescent="0.2">
      <c r="B54" s="922" t="s">
        <v>241</v>
      </c>
      <c r="C54" s="920" t="s">
        <v>1349</v>
      </c>
    </row>
    <row r="55" spans="2:3" ht="12.75" x14ac:dyDescent="0.2">
      <c r="B55" s="947" t="s">
        <v>1121</v>
      </c>
      <c r="C55" s="920" t="s">
        <v>1349</v>
      </c>
    </row>
    <row r="56" spans="2:3" ht="12.75" x14ac:dyDescent="0.2">
      <c r="B56" s="922" t="s">
        <v>987</v>
      </c>
      <c r="C56" s="920" t="s">
        <v>1349</v>
      </c>
    </row>
    <row r="57" spans="2:3" ht="12.75" x14ac:dyDescent="0.2">
      <c r="B57" s="922" t="s">
        <v>242</v>
      </c>
      <c r="C57" s="647" t="s">
        <v>1349</v>
      </c>
    </row>
    <row r="58" spans="2:3" ht="12.75" x14ac:dyDescent="0.2">
      <c r="B58" s="922" t="s">
        <v>243</v>
      </c>
      <c r="C58" s="647" t="s">
        <v>1349</v>
      </c>
    </row>
    <row r="59" spans="2:3" ht="12.75" x14ac:dyDescent="0.2">
      <c r="B59" s="922" t="s">
        <v>244</v>
      </c>
      <c r="C59" s="920" t="s">
        <v>1349</v>
      </c>
    </row>
    <row r="60" spans="2:3" ht="12.75" x14ac:dyDescent="0.2">
      <c r="B60" s="922" t="s">
        <v>245</v>
      </c>
      <c r="C60" s="920" t="s">
        <v>1349</v>
      </c>
    </row>
    <row r="61" spans="2:3" ht="12.75" x14ac:dyDescent="0.2">
      <c r="B61" s="922" t="s">
        <v>246</v>
      </c>
      <c r="C61" s="920" t="s">
        <v>1349</v>
      </c>
    </row>
    <row r="62" spans="2:3" ht="12.75" x14ac:dyDescent="0.2">
      <c r="B62" s="922" t="s">
        <v>194</v>
      </c>
      <c r="C62" s="920" t="s">
        <v>1349</v>
      </c>
    </row>
    <row r="63" spans="2:3" ht="12.75" x14ac:dyDescent="0.2">
      <c r="B63" s="922" t="s">
        <v>247</v>
      </c>
      <c r="C63" s="892" t="s">
        <v>1349</v>
      </c>
    </row>
    <row r="64" spans="2:3" ht="12.75" x14ac:dyDescent="0.2">
      <c r="B64" s="922" t="s">
        <v>248</v>
      </c>
      <c r="C64" s="920" t="s">
        <v>1349</v>
      </c>
    </row>
    <row r="65" spans="2:3" ht="12.75" x14ac:dyDescent="0.2">
      <c r="B65" s="922" t="s">
        <v>1075</v>
      </c>
      <c r="C65" s="920" t="s">
        <v>1349</v>
      </c>
    </row>
    <row r="66" spans="2:3" ht="12.75" x14ac:dyDescent="0.2">
      <c r="B66" s="922" t="s">
        <v>1076</v>
      </c>
      <c r="C66" s="920" t="s">
        <v>1349</v>
      </c>
    </row>
    <row r="67" spans="2:3" ht="12.75" x14ac:dyDescent="0.2">
      <c r="B67" s="922" t="s">
        <v>220</v>
      </c>
      <c r="C67" s="920" t="s">
        <v>1349</v>
      </c>
    </row>
    <row r="68" spans="2:3" ht="12.75" x14ac:dyDescent="0.2">
      <c r="B68" s="922" t="s">
        <v>1082</v>
      </c>
      <c r="C68" s="920" t="s">
        <v>1351</v>
      </c>
    </row>
    <row r="69" spans="2:3" ht="12.75" x14ac:dyDescent="0.2">
      <c r="B69" s="922" t="s">
        <v>249</v>
      </c>
      <c r="C69" s="920" t="s">
        <v>1351</v>
      </c>
    </row>
    <row r="70" spans="2:3" ht="12.75" x14ac:dyDescent="0.2">
      <c r="B70" s="922" t="s">
        <v>250</v>
      </c>
      <c r="C70" s="920" t="s">
        <v>1351</v>
      </c>
    </row>
    <row r="71" spans="2:3" ht="12.75" x14ac:dyDescent="0.2">
      <c r="B71" s="922" t="s">
        <v>251</v>
      </c>
      <c r="C71" s="920" t="s">
        <v>1351</v>
      </c>
    </row>
    <row r="72" spans="2:3" ht="12.75" x14ac:dyDescent="0.2">
      <c r="B72" s="922" t="s">
        <v>195</v>
      </c>
      <c r="C72" s="920" t="s">
        <v>1351</v>
      </c>
    </row>
    <row r="73" spans="2:3" ht="12.75" x14ac:dyDescent="0.2">
      <c r="B73" s="922" t="s">
        <v>252</v>
      </c>
      <c r="C73" s="920" t="s">
        <v>1351</v>
      </c>
    </row>
    <row r="74" spans="2:3" ht="12.75" x14ac:dyDescent="0.2">
      <c r="B74" s="922" t="s">
        <v>253</v>
      </c>
      <c r="C74" s="920" t="s">
        <v>1351</v>
      </c>
    </row>
    <row r="75" spans="2:3" ht="12.75" x14ac:dyDescent="0.2">
      <c r="B75" s="922" t="s">
        <v>254</v>
      </c>
      <c r="C75" s="920" t="s">
        <v>1351</v>
      </c>
    </row>
    <row r="76" spans="2:3" ht="12.75" x14ac:dyDescent="0.2">
      <c r="B76" s="922" t="s">
        <v>255</v>
      </c>
      <c r="C76" s="920" t="s">
        <v>1351</v>
      </c>
    </row>
    <row r="77" spans="2:3" ht="12.75" x14ac:dyDescent="0.2">
      <c r="B77" s="922" t="s">
        <v>256</v>
      </c>
      <c r="C77" s="920" t="s">
        <v>1351</v>
      </c>
    </row>
    <row r="78" spans="2:3" ht="12.75" x14ac:dyDescent="0.2">
      <c r="B78" s="922" t="s">
        <v>196</v>
      </c>
      <c r="C78" s="920" t="s">
        <v>1351</v>
      </c>
    </row>
    <row r="79" spans="2:3" ht="12.75" x14ac:dyDescent="0.2">
      <c r="B79" s="922" t="s">
        <v>257</v>
      </c>
      <c r="C79" s="920" t="s">
        <v>1351</v>
      </c>
    </row>
    <row r="80" spans="2:3" ht="12.75" x14ac:dyDescent="0.2">
      <c r="B80" s="922" t="s">
        <v>258</v>
      </c>
      <c r="C80" s="920" t="s">
        <v>1351</v>
      </c>
    </row>
    <row r="81" spans="2:3" ht="12.75" x14ac:dyDescent="0.2">
      <c r="B81" s="922" t="s">
        <v>259</v>
      </c>
      <c r="C81" s="920" t="s">
        <v>1351</v>
      </c>
    </row>
    <row r="82" spans="2:3" ht="12.75" x14ac:dyDescent="0.2">
      <c r="B82" s="922" t="s">
        <v>260</v>
      </c>
      <c r="C82" s="920" t="s">
        <v>1351</v>
      </c>
    </row>
    <row r="83" spans="2:3" ht="12.75" x14ac:dyDescent="0.2">
      <c r="B83" s="922" t="s">
        <v>261</v>
      </c>
      <c r="C83" s="920" t="s">
        <v>1351</v>
      </c>
    </row>
    <row r="84" spans="2:3" ht="12.75" x14ac:dyDescent="0.2">
      <c r="B84" s="922" t="s">
        <v>1077</v>
      </c>
      <c r="C84" s="920" t="s">
        <v>1351</v>
      </c>
    </row>
    <row r="85" spans="2:3" ht="12.75" x14ac:dyDescent="0.2">
      <c r="B85" s="922" t="s">
        <v>197</v>
      </c>
      <c r="C85" s="920" t="s">
        <v>1351</v>
      </c>
    </row>
    <row r="86" spans="2:3" ht="12.75" x14ac:dyDescent="0.2">
      <c r="B86" s="922" t="s">
        <v>262</v>
      </c>
      <c r="C86" s="920" t="s">
        <v>1351</v>
      </c>
    </row>
    <row r="87" spans="2:3" ht="12.75" x14ac:dyDescent="0.2">
      <c r="B87" s="922" t="s">
        <v>263</v>
      </c>
      <c r="C87" s="920" t="s">
        <v>1351</v>
      </c>
    </row>
    <row r="88" spans="2:3" ht="12.75" x14ac:dyDescent="0.2">
      <c r="B88" s="922" t="s">
        <v>264</v>
      </c>
      <c r="C88" s="920" t="s">
        <v>1351</v>
      </c>
    </row>
    <row r="89" spans="2:3" ht="12.75" x14ac:dyDescent="0.2">
      <c r="B89" s="922" t="s">
        <v>265</v>
      </c>
      <c r="C89" s="920" t="s">
        <v>1351</v>
      </c>
    </row>
    <row r="90" spans="2:3" ht="12.75" x14ac:dyDescent="0.2">
      <c r="B90" s="922" t="s">
        <v>198</v>
      </c>
      <c r="C90" s="920" t="s">
        <v>1351</v>
      </c>
    </row>
    <row r="91" spans="2:3" ht="12.75" x14ac:dyDescent="0.2">
      <c r="B91" s="922" t="s">
        <v>1352</v>
      </c>
      <c r="C91" s="920" t="s">
        <v>1353</v>
      </c>
    </row>
    <row r="92" spans="2:3" ht="12.75" x14ac:dyDescent="0.2">
      <c r="B92" s="922" t="s">
        <v>1083</v>
      </c>
      <c r="C92" s="920" t="s">
        <v>1353</v>
      </c>
    </row>
    <row r="93" spans="2:3" ht="12.75" x14ac:dyDescent="0.2">
      <c r="B93" s="922" t="s">
        <v>1084</v>
      </c>
      <c r="C93" s="920" t="s">
        <v>1353</v>
      </c>
    </row>
    <row r="94" spans="2:3" ht="12.75" x14ac:dyDescent="0.2">
      <c r="B94" s="922" t="s">
        <v>266</v>
      </c>
      <c r="C94" s="920" t="s">
        <v>1353</v>
      </c>
    </row>
    <row r="95" spans="2:3" ht="12.75" x14ac:dyDescent="0.2">
      <c r="B95" s="922" t="s">
        <v>267</v>
      </c>
      <c r="C95" s="920" t="s">
        <v>1353</v>
      </c>
    </row>
    <row r="96" spans="2:3" ht="12.75" x14ac:dyDescent="0.2">
      <c r="B96" s="922" t="s">
        <v>268</v>
      </c>
      <c r="C96" s="920" t="s">
        <v>1353</v>
      </c>
    </row>
    <row r="97" spans="2:3" ht="12.75" x14ac:dyDescent="0.2">
      <c r="B97" s="922" t="s">
        <v>219</v>
      </c>
      <c r="C97" s="920" t="s">
        <v>1353</v>
      </c>
    </row>
    <row r="98" spans="2:3" ht="12.75" x14ac:dyDescent="0.2">
      <c r="B98" s="922" t="s">
        <v>269</v>
      </c>
      <c r="C98" s="920" t="s">
        <v>1353</v>
      </c>
    </row>
    <row r="99" spans="2:3" ht="12.75" x14ac:dyDescent="0.2">
      <c r="B99" s="922" t="s">
        <v>990</v>
      </c>
      <c r="C99" s="920" t="s">
        <v>1353</v>
      </c>
    </row>
    <row r="100" spans="2:3" ht="12.75" x14ac:dyDescent="0.2">
      <c r="B100" s="947" t="s">
        <v>1354</v>
      </c>
      <c r="C100" s="920" t="s">
        <v>1353</v>
      </c>
    </row>
    <row r="101" spans="2:3" ht="12.75" x14ac:dyDescent="0.2">
      <c r="B101" s="922" t="s">
        <v>221</v>
      </c>
      <c r="C101" s="920" t="s">
        <v>1353</v>
      </c>
    </row>
    <row r="102" spans="2:3" ht="12.75" x14ac:dyDescent="0.2">
      <c r="B102" s="922" t="s">
        <v>1085</v>
      </c>
      <c r="C102" s="920" t="s">
        <v>1355</v>
      </c>
    </row>
    <row r="103" spans="2:3" ht="12.75" x14ac:dyDescent="0.2">
      <c r="B103" s="922" t="s">
        <v>270</v>
      </c>
      <c r="C103" s="920" t="s">
        <v>1355</v>
      </c>
    </row>
    <row r="104" spans="2:3" ht="12.75" x14ac:dyDescent="0.2">
      <c r="B104" s="922" t="s">
        <v>271</v>
      </c>
      <c r="C104" s="945" t="s">
        <v>1355</v>
      </c>
    </row>
    <row r="105" spans="2:3" ht="12.75" x14ac:dyDescent="0.2">
      <c r="B105" s="922" t="s">
        <v>272</v>
      </c>
      <c r="C105" s="945" t="s">
        <v>1355</v>
      </c>
    </row>
    <row r="106" spans="2:3" ht="12.75" x14ac:dyDescent="0.2">
      <c r="B106" s="922" t="s">
        <v>1127</v>
      </c>
      <c r="C106" s="945" t="s">
        <v>1355</v>
      </c>
    </row>
    <row r="107" spans="2:3" ht="12.75" x14ac:dyDescent="0.2">
      <c r="B107" s="922" t="s">
        <v>199</v>
      </c>
      <c r="C107" s="945" t="s">
        <v>1355</v>
      </c>
    </row>
    <row r="108" spans="2:3" ht="12.75" x14ac:dyDescent="0.2">
      <c r="B108" s="922" t="s">
        <v>273</v>
      </c>
      <c r="C108" s="945" t="s">
        <v>1355</v>
      </c>
    </row>
    <row r="109" spans="2:3" ht="12.75" x14ac:dyDescent="0.2">
      <c r="B109" s="922" t="s">
        <v>274</v>
      </c>
      <c r="C109" s="945" t="s">
        <v>1355</v>
      </c>
    </row>
    <row r="110" spans="2:3" ht="12.75" x14ac:dyDescent="0.2">
      <c r="B110" s="922" t="s">
        <v>275</v>
      </c>
      <c r="C110" s="945" t="s">
        <v>1355</v>
      </c>
    </row>
    <row r="111" spans="2:3" ht="12.75" x14ac:dyDescent="0.2">
      <c r="B111" s="922" t="s">
        <v>276</v>
      </c>
      <c r="C111" s="945" t="s">
        <v>1355</v>
      </c>
    </row>
    <row r="112" spans="2:3" ht="12.75" x14ac:dyDescent="0.2">
      <c r="B112" s="922" t="s">
        <v>277</v>
      </c>
      <c r="C112" s="945" t="s">
        <v>1355</v>
      </c>
    </row>
    <row r="113" spans="2:3" ht="12.75" x14ac:dyDescent="0.2">
      <c r="B113" s="922" t="s">
        <v>278</v>
      </c>
      <c r="C113" s="945" t="s">
        <v>1355</v>
      </c>
    </row>
    <row r="114" spans="2:3" ht="12.75" x14ac:dyDescent="0.2">
      <c r="B114" s="922" t="s">
        <v>279</v>
      </c>
      <c r="C114" s="945" t="s">
        <v>1355</v>
      </c>
    </row>
    <row r="115" spans="2:3" ht="12.75" x14ac:dyDescent="0.2">
      <c r="B115" s="922" t="s">
        <v>200</v>
      </c>
      <c r="C115" s="945" t="s">
        <v>1355</v>
      </c>
    </row>
    <row r="116" spans="2:3" ht="12.75" x14ac:dyDescent="0.2">
      <c r="B116" s="922" t="s">
        <v>280</v>
      </c>
      <c r="C116" s="945" t="s">
        <v>1355</v>
      </c>
    </row>
    <row r="117" spans="2:3" ht="12.75" x14ac:dyDescent="0.2">
      <c r="B117" s="947" t="s">
        <v>1122</v>
      </c>
      <c r="C117" s="945" t="s">
        <v>1355</v>
      </c>
    </row>
    <row r="118" spans="2:3" ht="12.75" x14ac:dyDescent="0.2">
      <c r="B118" s="947" t="s">
        <v>1123</v>
      </c>
      <c r="C118" s="945" t="s">
        <v>1355</v>
      </c>
    </row>
    <row r="119" spans="2:3" ht="12.75" x14ac:dyDescent="0.2">
      <c r="B119" s="922" t="s">
        <v>201</v>
      </c>
      <c r="C119" s="945" t="s">
        <v>1355</v>
      </c>
    </row>
    <row r="120" spans="2:3" ht="12.75" x14ac:dyDescent="0.2">
      <c r="B120" s="922" t="s">
        <v>281</v>
      </c>
      <c r="C120" s="945" t="s">
        <v>1355</v>
      </c>
    </row>
    <row r="121" spans="2:3" ht="12.75" x14ac:dyDescent="0.2">
      <c r="B121" s="922" t="s">
        <v>282</v>
      </c>
      <c r="C121" s="945" t="s">
        <v>1355</v>
      </c>
    </row>
    <row r="122" spans="2:3" ht="12.75" x14ac:dyDescent="0.2">
      <c r="B122" s="922" t="s">
        <v>283</v>
      </c>
      <c r="C122" s="945" t="s">
        <v>1355</v>
      </c>
    </row>
    <row r="123" spans="2:3" ht="12.75" x14ac:dyDescent="0.2">
      <c r="B123" s="922" t="s">
        <v>285</v>
      </c>
      <c r="C123" s="945" t="s">
        <v>1355</v>
      </c>
    </row>
    <row r="124" spans="2:3" ht="12.75" x14ac:dyDescent="0.2">
      <c r="B124" s="922" t="s">
        <v>202</v>
      </c>
      <c r="C124" s="920" t="s">
        <v>1355</v>
      </c>
    </row>
    <row r="125" spans="2:3" ht="12.75" x14ac:dyDescent="0.2">
      <c r="B125" s="922" t="s">
        <v>286</v>
      </c>
      <c r="C125" s="920" t="s">
        <v>1355</v>
      </c>
    </row>
    <row r="126" spans="2:3" ht="12.75" x14ac:dyDescent="0.2">
      <c r="B126" s="922" t="s">
        <v>1356</v>
      </c>
      <c r="C126" s="920" t="s">
        <v>1355</v>
      </c>
    </row>
    <row r="127" spans="2:3" ht="12.75" x14ac:dyDescent="0.2">
      <c r="B127" s="922" t="s">
        <v>287</v>
      </c>
      <c r="C127" s="920" t="s">
        <v>1355</v>
      </c>
    </row>
    <row r="128" spans="2:3" ht="12.75" x14ac:dyDescent="0.2">
      <c r="B128" s="922" t="s">
        <v>203</v>
      </c>
      <c r="C128" s="920" t="s">
        <v>1355</v>
      </c>
    </row>
    <row r="129" spans="2:3" ht="12.75" x14ac:dyDescent="0.2">
      <c r="B129" s="922" t="s">
        <v>288</v>
      </c>
      <c r="C129" s="920" t="s">
        <v>1355</v>
      </c>
    </row>
    <row r="130" spans="2:3" ht="12.75" x14ac:dyDescent="0.2">
      <c r="B130" s="922" t="s">
        <v>289</v>
      </c>
      <c r="C130" s="920" t="s">
        <v>1355</v>
      </c>
    </row>
    <row r="131" spans="2:3" ht="12.75" x14ac:dyDescent="0.2">
      <c r="B131" s="922" t="s">
        <v>290</v>
      </c>
      <c r="C131" s="920" t="s">
        <v>1355</v>
      </c>
    </row>
    <row r="132" spans="2:3" ht="12.75" x14ac:dyDescent="0.2">
      <c r="B132" s="922" t="s">
        <v>291</v>
      </c>
      <c r="C132" s="920" t="s">
        <v>1355</v>
      </c>
    </row>
    <row r="133" spans="2:3" ht="12.75" x14ac:dyDescent="0.2">
      <c r="B133" s="922" t="s">
        <v>292</v>
      </c>
      <c r="C133" s="920" t="s">
        <v>1355</v>
      </c>
    </row>
    <row r="134" spans="2:3" ht="12.75" x14ac:dyDescent="0.2">
      <c r="B134" s="922" t="s">
        <v>204</v>
      </c>
      <c r="C134" s="892" t="s">
        <v>1355</v>
      </c>
    </row>
    <row r="135" spans="2:3" ht="12.75" x14ac:dyDescent="0.2">
      <c r="B135" s="922" t="s">
        <v>293</v>
      </c>
      <c r="C135" s="892" t="s">
        <v>1355</v>
      </c>
    </row>
    <row r="136" spans="2:3" ht="12.75" x14ac:dyDescent="0.2">
      <c r="B136" s="922" t="s">
        <v>294</v>
      </c>
      <c r="C136" s="892" t="s">
        <v>1355</v>
      </c>
    </row>
    <row r="137" spans="2:3" ht="12.75" x14ac:dyDescent="0.2">
      <c r="B137" s="922" t="s">
        <v>295</v>
      </c>
      <c r="C137" s="892" t="s">
        <v>1355</v>
      </c>
    </row>
    <row r="138" spans="2:3" ht="12.75" x14ac:dyDescent="0.2">
      <c r="B138" s="947" t="s">
        <v>1357</v>
      </c>
      <c r="C138" s="892" t="s">
        <v>1355</v>
      </c>
    </row>
    <row r="139" spans="2:3" ht="12.75" x14ac:dyDescent="0.2">
      <c r="B139" s="922" t="s">
        <v>205</v>
      </c>
      <c r="C139" s="892" t="s">
        <v>1355</v>
      </c>
    </row>
    <row r="140" spans="2:3" ht="12.75" x14ac:dyDescent="0.2">
      <c r="B140" s="922" t="s">
        <v>991</v>
      </c>
      <c r="C140" s="892" t="s">
        <v>1355</v>
      </c>
    </row>
    <row r="141" spans="2:3" ht="12.75" x14ac:dyDescent="0.2">
      <c r="B141" s="922" t="s">
        <v>296</v>
      </c>
      <c r="C141" s="892" t="s">
        <v>1355</v>
      </c>
    </row>
    <row r="142" spans="2:3" ht="12.75" x14ac:dyDescent="0.2">
      <c r="B142" s="922" t="s">
        <v>992</v>
      </c>
      <c r="C142" s="892" t="s">
        <v>1355</v>
      </c>
    </row>
    <row r="143" spans="2:3" ht="12.75" x14ac:dyDescent="0.2">
      <c r="B143" s="922" t="s">
        <v>297</v>
      </c>
      <c r="C143" s="892" t="s">
        <v>1355</v>
      </c>
    </row>
    <row r="144" spans="2:3" ht="12.75" x14ac:dyDescent="0.2">
      <c r="B144" s="922" t="s">
        <v>298</v>
      </c>
      <c r="C144" s="892" t="s">
        <v>1355</v>
      </c>
    </row>
    <row r="145" spans="2:3" ht="12.75" x14ac:dyDescent="0.2">
      <c r="B145" s="922" t="s">
        <v>1124</v>
      </c>
      <c r="C145" s="892" t="s">
        <v>1355</v>
      </c>
    </row>
    <row r="146" spans="2:3" ht="12.75" x14ac:dyDescent="0.2">
      <c r="B146" s="922" t="s">
        <v>299</v>
      </c>
      <c r="C146" s="892" t="s">
        <v>1355</v>
      </c>
    </row>
    <row r="147" spans="2:3" ht="12.75" x14ac:dyDescent="0.2">
      <c r="B147" s="922" t="s">
        <v>300</v>
      </c>
      <c r="C147" s="892" t="s">
        <v>1355</v>
      </c>
    </row>
    <row r="148" spans="2:3" ht="12.75" x14ac:dyDescent="0.2">
      <c r="B148" s="922" t="s">
        <v>301</v>
      </c>
      <c r="C148" s="892" t="s">
        <v>1355</v>
      </c>
    </row>
    <row r="149" spans="2:3" ht="12.75" x14ac:dyDescent="0.2">
      <c r="B149" s="922" t="s">
        <v>302</v>
      </c>
      <c r="C149" s="892" t="s">
        <v>1355</v>
      </c>
    </row>
    <row r="150" spans="2:3" ht="12.75" x14ac:dyDescent="0.2">
      <c r="B150" s="922" t="s">
        <v>206</v>
      </c>
      <c r="C150" s="892" t="s">
        <v>1355</v>
      </c>
    </row>
    <row r="151" spans="2:3" ht="12.75" x14ac:dyDescent="0.2">
      <c r="B151" s="922" t="s">
        <v>303</v>
      </c>
      <c r="C151" s="892" t="s">
        <v>1355</v>
      </c>
    </row>
    <row r="152" spans="2:3" ht="12.75" x14ac:dyDescent="0.2">
      <c r="B152" s="922" t="s">
        <v>304</v>
      </c>
      <c r="C152" s="892" t="s">
        <v>1355</v>
      </c>
    </row>
    <row r="153" spans="2:3" ht="12.75" x14ac:dyDescent="0.2">
      <c r="B153" s="922" t="s">
        <v>305</v>
      </c>
      <c r="C153" s="892" t="s">
        <v>1355</v>
      </c>
    </row>
    <row r="154" spans="2:3" ht="12.75" x14ac:dyDescent="0.2">
      <c r="B154" s="947" t="s">
        <v>1125</v>
      </c>
      <c r="C154" s="892" t="s">
        <v>1355</v>
      </c>
    </row>
    <row r="155" spans="2:3" ht="12.75" x14ac:dyDescent="0.2">
      <c r="B155" s="922" t="s">
        <v>1116</v>
      </c>
      <c r="C155" s="892" t="s">
        <v>1355</v>
      </c>
    </row>
    <row r="156" spans="2:3" ht="12.75" x14ac:dyDescent="0.2">
      <c r="B156" s="922" t="s">
        <v>306</v>
      </c>
      <c r="C156" s="892" t="s">
        <v>1358</v>
      </c>
    </row>
    <row r="157" spans="2:3" ht="12.75" x14ac:dyDescent="0.2">
      <c r="B157" s="922" t="s">
        <v>307</v>
      </c>
      <c r="C157" s="892" t="s">
        <v>1358</v>
      </c>
    </row>
    <row r="158" spans="2:3" ht="12.75" x14ac:dyDescent="0.2">
      <c r="B158" s="922" t="s">
        <v>308</v>
      </c>
      <c r="C158" s="892" t="s">
        <v>1358</v>
      </c>
    </row>
    <row r="159" spans="2:3" ht="12.75" x14ac:dyDescent="0.2">
      <c r="B159" s="922" t="s">
        <v>309</v>
      </c>
      <c r="C159" s="892" t="s">
        <v>1358</v>
      </c>
    </row>
    <row r="160" spans="2:3" ht="12.75" x14ac:dyDescent="0.2">
      <c r="B160" s="922" t="s">
        <v>310</v>
      </c>
      <c r="C160" s="892" t="s">
        <v>1358</v>
      </c>
    </row>
    <row r="161" spans="2:3" ht="12.75" x14ac:dyDescent="0.2">
      <c r="B161" s="922" t="s">
        <v>211</v>
      </c>
      <c r="C161" s="892" t="s">
        <v>1358</v>
      </c>
    </row>
    <row r="162" spans="2:3" ht="12.75" x14ac:dyDescent="0.2">
      <c r="B162" s="922" t="s">
        <v>311</v>
      </c>
      <c r="C162" s="892" t="s">
        <v>1358</v>
      </c>
    </row>
    <row r="163" spans="2:3" ht="12.75" x14ac:dyDescent="0.2">
      <c r="B163" s="922" t="s">
        <v>312</v>
      </c>
      <c r="C163" s="892" t="s">
        <v>1358</v>
      </c>
    </row>
    <row r="164" spans="2:3" ht="12.75" x14ac:dyDescent="0.2">
      <c r="B164" s="922" t="s">
        <v>313</v>
      </c>
      <c r="C164" s="892" t="s">
        <v>1358</v>
      </c>
    </row>
    <row r="165" spans="2:3" ht="12.75" x14ac:dyDescent="0.2">
      <c r="B165" s="947" t="s">
        <v>1359</v>
      </c>
      <c r="C165" s="892" t="s">
        <v>1358</v>
      </c>
    </row>
    <row r="166" spans="2:3" ht="12.75" x14ac:dyDescent="0.2">
      <c r="B166" s="922" t="s">
        <v>212</v>
      </c>
      <c r="C166" s="892" t="s">
        <v>1358</v>
      </c>
    </row>
    <row r="167" spans="2:3" ht="12.75" x14ac:dyDescent="0.2">
      <c r="B167" s="922" t="s">
        <v>314</v>
      </c>
      <c r="C167" s="892" t="s">
        <v>1358</v>
      </c>
    </row>
    <row r="168" spans="2:3" ht="12.75" x14ac:dyDescent="0.2">
      <c r="B168" s="922" t="s">
        <v>315</v>
      </c>
      <c r="C168" s="892" t="s">
        <v>1358</v>
      </c>
    </row>
    <row r="169" spans="2:3" ht="12.75" x14ac:dyDescent="0.2">
      <c r="B169" s="922" t="s">
        <v>316</v>
      </c>
      <c r="C169" s="892" t="s">
        <v>1358</v>
      </c>
    </row>
    <row r="170" spans="2:3" ht="12.75" x14ac:dyDescent="0.2">
      <c r="B170" s="922" t="s">
        <v>317</v>
      </c>
      <c r="C170" s="892" t="s">
        <v>1358</v>
      </c>
    </row>
    <row r="171" spans="2:3" ht="12.75" x14ac:dyDescent="0.2">
      <c r="B171" s="922" t="s">
        <v>213</v>
      </c>
      <c r="C171" s="892" t="s">
        <v>1358</v>
      </c>
    </row>
    <row r="172" spans="2:3" ht="12.75" x14ac:dyDescent="0.2">
      <c r="B172" s="922" t="s">
        <v>318</v>
      </c>
      <c r="C172" s="892" t="s">
        <v>1358</v>
      </c>
    </row>
    <row r="173" spans="2:3" ht="12.75" x14ac:dyDescent="0.2">
      <c r="B173" s="922" t="s">
        <v>319</v>
      </c>
      <c r="C173" s="892" t="s">
        <v>1358</v>
      </c>
    </row>
    <row r="174" spans="2:3" ht="12.75" x14ac:dyDescent="0.2">
      <c r="B174" s="922" t="s">
        <v>320</v>
      </c>
      <c r="C174" s="892" t="s">
        <v>1358</v>
      </c>
    </row>
    <row r="175" spans="2:3" ht="12.75" x14ac:dyDescent="0.2">
      <c r="B175" s="922" t="s">
        <v>321</v>
      </c>
      <c r="C175" s="892" t="s">
        <v>1358</v>
      </c>
    </row>
    <row r="176" spans="2:3" ht="12.75" x14ac:dyDescent="0.2">
      <c r="B176" s="947" t="s">
        <v>1360</v>
      </c>
      <c r="C176" s="892" t="s">
        <v>1358</v>
      </c>
    </row>
    <row r="177" spans="2:3" ht="12.75" x14ac:dyDescent="0.2">
      <c r="B177" s="922" t="s">
        <v>214</v>
      </c>
      <c r="C177" s="892" t="s">
        <v>1358</v>
      </c>
    </row>
    <row r="178" spans="2:3" ht="12.75" x14ac:dyDescent="0.2">
      <c r="B178" s="922" t="s">
        <v>993</v>
      </c>
      <c r="C178" s="920" t="s">
        <v>1358</v>
      </c>
    </row>
    <row r="179" spans="2:3" ht="12.75" x14ac:dyDescent="0.2">
      <c r="B179" s="922" t="s">
        <v>322</v>
      </c>
      <c r="C179" s="920" t="s">
        <v>1358</v>
      </c>
    </row>
    <row r="180" spans="2:3" ht="12.75" x14ac:dyDescent="0.2">
      <c r="B180" s="922" t="s">
        <v>994</v>
      </c>
      <c r="C180" s="920" t="s">
        <v>1358</v>
      </c>
    </row>
    <row r="181" spans="2:3" ht="12.75" x14ac:dyDescent="0.2">
      <c r="B181" s="947" t="s">
        <v>1361</v>
      </c>
      <c r="C181" s="920" t="s">
        <v>1358</v>
      </c>
    </row>
    <row r="182" spans="2:3" ht="12.75" x14ac:dyDescent="0.2">
      <c r="B182" s="922" t="s">
        <v>1073</v>
      </c>
      <c r="C182" s="920" t="s">
        <v>1358</v>
      </c>
    </row>
    <row r="183" spans="2:3" ht="12.75" x14ac:dyDescent="0.2">
      <c r="B183" s="922" t="s">
        <v>323</v>
      </c>
      <c r="C183" s="920" t="s">
        <v>1362</v>
      </c>
    </row>
    <row r="184" spans="2:3" ht="12.75" x14ac:dyDescent="0.2">
      <c r="B184" s="922" t="s">
        <v>324</v>
      </c>
      <c r="C184" s="920" t="s">
        <v>1362</v>
      </c>
    </row>
    <row r="185" spans="2:3" ht="12.75" x14ac:dyDescent="0.2">
      <c r="B185" s="922" t="s">
        <v>325</v>
      </c>
      <c r="C185" s="920" t="s">
        <v>1362</v>
      </c>
    </row>
    <row r="186" spans="2:3" ht="12.75" x14ac:dyDescent="0.2">
      <c r="B186" s="922" t="s">
        <v>995</v>
      </c>
      <c r="C186" s="920" t="s">
        <v>1362</v>
      </c>
    </row>
    <row r="187" spans="2:3" ht="12.75" x14ac:dyDescent="0.2">
      <c r="B187" s="922" t="s">
        <v>326</v>
      </c>
      <c r="C187" s="920" t="s">
        <v>1362</v>
      </c>
    </row>
    <row r="188" spans="2:3" ht="12.75" x14ac:dyDescent="0.2">
      <c r="B188" s="922" t="s">
        <v>327</v>
      </c>
      <c r="C188" s="920" t="s">
        <v>1362</v>
      </c>
    </row>
    <row r="189" spans="2:3" ht="12.75" x14ac:dyDescent="0.2">
      <c r="B189" s="922" t="s">
        <v>328</v>
      </c>
      <c r="C189" s="920" t="s">
        <v>1362</v>
      </c>
    </row>
    <row r="190" spans="2:3" ht="12.75" x14ac:dyDescent="0.2">
      <c r="B190" s="922" t="s">
        <v>208</v>
      </c>
      <c r="C190" s="920" t="s">
        <v>1362</v>
      </c>
    </row>
    <row r="191" spans="2:3" ht="12.75" x14ac:dyDescent="0.2">
      <c r="B191" s="922" t="s">
        <v>996</v>
      </c>
      <c r="C191" s="920" t="s">
        <v>1362</v>
      </c>
    </row>
    <row r="192" spans="2:3" ht="12.75" x14ac:dyDescent="0.2">
      <c r="B192" s="922" t="s">
        <v>1078</v>
      </c>
      <c r="C192" s="920" t="s">
        <v>1362</v>
      </c>
    </row>
    <row r="193" spans="2:3" ht="12.75" x14ac:dyDescent="0.2">
      <c r="B193" s="922" t="s">
        <v>329</v>
      </c>
      <c r="C193" s="920" t="s">
        <v>1362</v>
      </c>
    </row>
    <row r="194" spans="2:3" ht="12.75" x14ac:dyDescent="0.2">
      <c r="B194" s="922" t="s">
        <v>330</v>
      </c>
      <c r="C194" s="920" t="s">
        <v>1362</v>
      </c>
    </row>
    <row r="195" spans="2:3" ht="12.75" x14ac:dyDescent="0.2">
      <c r="B195" s="922" t="s">
        <v>1079</v>
      </c>
      <c r="C195" s="920" t="s">
        <v>1362</v>
      </c>
    </row>
    <row r="196" spans="2:3" ht="12.75" x14ac:dyDescent="0.2">
      <c r="B196" s="922" t="s">
        <v>331</v>
      </c>
      <c r="C196" s="920" t="s">
        <v>1362</v>
      </c>
    </row>
    <row r="197" spans="2:3" ht="12.75" x14ac:dyDescent="0.2">
      <c r="B197" s="922" t="s">
        <v>209</v>
      </c>
      <c r="C197" s="920" t="s">
        <v>1362</v>
      </c>
    </row>
    <row r="198" spans="2:3" ht="12.75" x14ac:dyDescent="0.2">
      <c r="B198" s="922" t="s">
        <v>332</v>
      </c>
      <c r="C198" s="920" t="s">
        <v>1362</v>
      </c>
    </row>
    <row r="199" spans="2:3" ht="12.75" x14ac:dyDescent="0.2">
      <c r="B199" s="922" t="s">
        <v>333</v>
      </c>
      <c r="C199" s="920" t="s">
        <v>1362</v>
      </c>
    </row>
    <row r="200" spans="2:3" ht="12.75" x14ac:dyDescent="0.2">
      <c r="B200" s="922" t="s">
        <v>334</v>
      </c>
      <c r="C200" s="920" t="s">
        <v>1362</v>
      </c>
    </row>
    <row r="201" spans="2:3" ht="12.75" x14ac:dyDescent="0.2">
      <c r="B201" s="947" t="s">
        <v>1126</v>
      </c>
      <c r="C201" s="920" t="s">
        <v>1362</v>
      </c>
    </row>
    <row r="202" spans="2:3" ht="12.75" x14ac:dyDescent="0.2">
      <c r="B202" s="922" t="s">
        <v>210</v>
      </c>
      <c r="C202" s="920" t="s">
        <v>1362</v>
      </c>
    </row>
    <row r="203" spans="2:3" ht="12.75" x14ac:dyDescent="0.2">
      <c r="B203" s="922" t="s">
        <v>997</v>
      </c>
      <c r="C203" s="920" t="s">
        <v>1363</v>
      </c>
    </row>
    <row r="204" spans="2:3" ht="12.75" x14ac:dyDescent="0.2">
      <c r="B204" s="922" t="s">
        <v>391</v>
      </c>
      <c r="C204" s="920" t="s">
        <v>1363</v>
      </c>
    </row>
    <row r="205" spans="2:3" ht="12.75" x14ac:dyDescent="0.2">
      <c r="B205" s="922" t="s">
        <v>392</v>
      </c>
      <c r="C205" s="920" t="s">
        <v>1363</v>
      </c>
    </row>
    <row r="206" spans="2:3" ht="12.75" x14ac:dyDescent="0.2">
      <c r="B206" s="922" t="s">
        <v>988</v>
      </c>
      <c r="C206" s="920" t="s">
        <v>1363</v>
      </c>
    </row>
    <row r="207" spans="2:3" ht="12.75" x14ac:dyDescent="0.2">
      <c r="B207" s="922" t="s">
        <v>335</v>
      </c>
      <c r="C207" s="920" t="s">
        <v>1363</v>
      </c>
    </row>
    <row r="208" spans="2:3" ht="12.75" x14ac:dyDescent="0.2">
      <c r="B208" s="922" t="s">
        <v>336</v>
      </c>
      <c r="C208" s="920" t="s">
        <v>1363</v>
      </c>
    </row>
    <row r="209" spans="2:3" ht="12.75" x14ac:dyDescent="0.2">
      <c r="B209" s="922" t="s">
        <v>337</v>
      </c>
      <c r="C209" s="920" t="s">
        <v>1363</v>
      </c>
    </row>
    <row r="210" spans="2:3" ht="12.75" x14ac:dyDescent="0.2">
      <c r="B210" s="922" t="s">
        <v>338</v>
      </c>
      <c r="C210" s="920" t="s">
        <v>1363</v>
      </c>
    </row>
    <row r="211" spans="2:3" ht="12.75" x14ac:dyDescent="0.2">
      <c r="B211" s="922" t="s">
        <v>339</v>
      </c>
      <c r="C211" s="920" t="s">
        <v>1363</v>
      </c>
    </row>
    <row r="212" spans="2:3" ht="12.75" x14ac:dyDescent="0.2">
      <c r="B212" s="922" t="s">
        <v>340</v>
      </c>
      <c r="C212" s="920" t="s">
        <v>1363</v>
      </c>
    </row>
    <row r="213" spans="2:3" ht="12.75" x14ac:dyDescent="0.2">
      <c r="B213" s="922" t="s">
        <v>223</v>
      </c>
      <c r="C213" s="920" t="s">
        <v>1363</v>
      </c>
    </row>
    <row r="214" spans="2:3" ht="12.75" x14ac:dyDescent="0.2">
      <c r="B214" s="922" t="s">
        <v>341</v>
      </c>
      <c r="C214" s="920" t="s">
        <v>1363</v>
      </c>
    </row>
    <row r="215" spans="2:3" ht="12.75" x14ac:dyDescent="0.2">
      <c r="B215" s="922" t="s">
        <v>342</v>
      </c>
      <c r="C215" s="920" t="s">
        <v>1363</v>
      </c>
    </row>
    <row r="216" spans="2:3" ht="12.75" x14ac:dyDescent="0.2">
      <c r="B216" s="922" t="s">
        <v>343</v>
      </c>
      <c r="C216" s="920" t="s">
        <v>1363</v>
      </c>
    </row>
    <row r="217" spans="2:3" ht="12.75" x14ac:dyDescent="0.2">
      <c r="B217" s="922" t="s">
        <v>378</v>
      </c>
      <c r="C217" s="920" t="s">
        <v>1363</v>
      </c>
    </row>
    <row r="218" spans="2:3" ht="12.75" x14ac:dyDescent="0.2">
      <c r="B218" s="922" t="s">
        <v>379</v>
      </c>
      <c r="C218" s="920" t="s">
        <v>1363</v>
      </c>
    </row>
    <row r="219" spans="2:3" ht="12.75" x14ac:dyDescent="0.2">
      <c r="B219" s="922" t="s">
        <v>380</v>
      </c>
      <c r="C219" s="920" t="s">
        <v>1363</v>
      </c>
    </row>
    <row r="220" spans="2:3" ht="12.75" x14ac:dyDescent="0.2">
      <c r="B220" s="922" t="s">
        <v>381</v>
      </c>
      <c r="C220" s="920" t="s">
        <v>1363</v>
      </c>
    </row>
    <row r="221" spans="2:3" ht="12.75" x14ac:dyDescent="0.2">
      <c r="B221" s="922" t="s">
        <v>382</v>
      </c>
      <c r="C221" s="920" t="s">
        <v>1363</v>
      </c>
    </row>
    <row r="222" spans="2:3" ht="12.75" x14ac:dyDescent="0.2">
      <c r="B222" s="922" t="s">
        <v>1074</v>
      </c>
      <c r="C222" s="920" t="s">
        <v>1363</v>
      </c>
    </row>
    <row r="223" spans="2:3" ht="12.75" x14ac:dyDescent="0.2">
      <c r="B223" s="922" t="s">
        <v>383</v>
      </c>
      <c r="C223" s="920" t="s">
        <v>1363</v>
      </c>
    </row>
    <row r="224" spans="2:3" ht="12.75" x14ac:dyDescent="0.2">
      <c r="B224" s="922" t="s">
        <v>384</v>
      </c>
      <c r="C224" s="920" t="s">
        <v>1363</v>
      </c>
    </row>
    <row r="225" spans="2:3" ht="12.75" x14ac:dyDescent="0.2">
      <c r="B225" s="922" t="s">
        <v>385</v>
      </c>
      <c r="C225" s="920" t="s">
        <v>1363</v>
      </c>
    </row>
    <row r="226" spans="2:3" ht="12.75" x14ac:dyDescent="0.2">
      <c r="B226" s="922" t="s">
        <v>386</v>
      </c>
      <c r="C226" s="920" t="s">
        <v>1363</v>
      </c>
    </row>
    <row r="227" spans="2:3" ht="12.75" x14ac:dyDescent="0.2">
      <c r="B227" s="947" t="s">
        <v>1364</v>
      </c>
      <c r="C227" s="920" t="s">
        <v>1363</v>
      </c>
    </row>
    <row r="228" spans="2:3" ht="12.75" x14ac:dyDescent="0.2">
      <c r="B228" s="922" t="s">
        <v>1117</v>
      </c>
      <c r="C228" s="920" t="s">
        <v>1363</v>
      </c>
    </row>
    <row r="229" spans="2:3" ht="12.75" x14ac:dyDescent="0.2">
      <c r="B229" s="922" t="s">
        <v>387</v>
      </c>
      <c r="C229" s="920" t="s">
        <v>1363</v>
      </c>
    </row>
    <row r="230" spans="2:3" ht="12.75" x14ac:dyDescent="0.2">
      <c r="B230" s="922" t="s">
        <v>388</v>
      </c>
      <c r="C230" s="920" t="s">
        <v>1363</v>
      </c>
    </row>
    <row r="231" spans="2:3" ht="12.75" x14ac:dyDescent="0.2">
      <c r="B231" s="922" t="s">
        <v>389</v>
      </c>
      <c r="C231" s="920" t="s">
        <v>1363</v>
      </c>
    </row>
    <row r="232" spans="2:3" ht="12.75" x14ac:dyDescent="0.2">
      <c r="B232" s="922" t="s">
        <v>390</v>
      </c>
      <c r="C232" s="920" t="s">
        <v>1363</v>
      </c>
    </row>
    <row r="233" spans="2:3" ht="12.75" x14ac:dyDescent="0.2">
      <c r="B233" s="922" t="s">
        <v>224</v>
      </c>
      <c r="C233" s="920" t="s">
        <v>1363</v>
      </c>
    </row>
    <row r="234" spans="2:3" ht="12.75" x14ac:dyDescent="0.2">
      <c r="B234" s="922" t="s">
        <v>393</v>
      </c>
      <c r="C234" s="920" t="s">
        <v>1365</v>
      </c>
    </row>
    <row r="235" spans="2:3" ht="12.75" x14ac:dyDescent="0.2">
      <c r="B235" s="922" t="s">
        <v>394</v>
      </c>
      <c r="C235" s="920" t="s">
        <v>1365</v>
      </c>
    </row>
    <row r="236" spans="2:3" ht="12.75" x14ac:dyDescent="0.2">
      <c r="B236" s="922" t="s">
        <v>395</v>
      </c>
      <c r="C236" s="920" t="s">
        <v>1365</v>
      </c>
    </row>
    <row r="237" spans="2:3" ht="12.75" x14ac:dyDescent="0.2">
      <c r="B237" s="922" t="s">
        <v>396</v>
      </c>
      <c r="C237" s="920" t="s">
        <v>1365</v>
      </c>
    </row>
    <row r="238" spans="2:3" ht="12.75" x14ac:dyDescent="0.2">
      <c r="B238" s="922" t="s">
        <v>397</v>
      </c>
      <c r="C238" s="920" t="s">
        <v>1365</v>
      </c>
    </row>
    <row r="239" spans="2:3" ht="12.75" x14ac:dyDescent="0.2">
      <c r="B239" s="922" t="s">
        <v>215</v>
      </c>
      <c r="C239" s="920" t="s">
        <v>1365</v>
      </c>
    </row>
    <row r="240" spans="2:3" ht="12.75" x14ac:dyDescent="0.2">
      <c r="B240" s="922" t="s">
        <v>398</v>
      </c>
      <c r="C240" s="920" t="s">
        <v>1365</v>
      </c>
    </row>
    <row r="241" spans="2:3" ht="12.75" x14ac:dyDescent="0.2">
      <c r="B241" s="922" t="s">
        <v>399</v>
      </c>
      <c r="C241" s="920" t="s">
        <v>1365</v>
      </c>
    </row>
    <row r="242" spans="2:3" ht="12.75" x14ac:dyDescent="0.2">
      <c r="B242" s="922" t="s">
        <v>400</v>
      </c>
      <c r="C242" s="920" t="s">
        <v>1365</v>
      </c>
    </row>
    <row r="243" spans="2:3" ht="12.75" x14ac:dyDescent="0.2">
      <c r="B243" s="922" t="s">
        <v>401</v>
      </c>
      <c r="C243" s="920" t="s">
        <v>1365</v>
      </c>
    </row>
    <row r="244" spans="2:3" ht="12.75" x14ac:dyDescent="0.2">
      <c r="B244" s="922" t="s">
        <v>402</v>
      </c>
      <c r="C244" s="920" t="s">
        <v>1365</v>
      </c>
    </row>
    <row r="245" spans="2:3" ht="12.75" x14ac:dyDescent="0.2">
      <c r="B245" s="922" t="s">
        <v>216</v>
      </c>
      <c r="C245" s="920" t="s">
        <v>1365</v>
      </c>
    </row>
    <row r="246" spans="2:3" ht="12.75" x14ac:dyDescent="0.2">
      <c r="B246" s="922" t="s">
        <v>403</v>
      </c>
      <c r="C246" s="920" t="s">
        <v>1365</v>
      </c>
    </row>
    <row r="247" spans="2:3" ht="12.75" x14ac:dyDescent="0.2">
      <c r="B247" s="922" t="s">
        <v>404</v>
      </c>
      <c r="C247" s="920" t="s">
        <v>1365</v>
      </c>
    </row>
    <row r="248" spans="2:3" ht="12.75" x14ac:dyDescent="0.2">
      <c r="B248" s="922" t="s">
        <v>405</v>
      </c>
      <c r="C248" s="920" t="s">
        <v>1365</v>
      </c>
    </row>
    <row r="249" spans="2:3" ht="12.75" x14ac:dyDescent="0.2">
      <c r="B249" s="922" t="s">
        <v>406</v>
      </c>
      <c r="C249" s="920" t="s">
        <v>1365</v>
      </c>
    </row>
    <row r="250" spans="2:3" ht="12.75" x14ac:dyDescent="0.2">
      <c r="B250" s="922" t="s">
        <v>1118</v>
      </c>
      <c r="C250" s="920" t="s">
        <v>1365</v>
      </c>
    </row>
    <row r="251" spans="2:3" ht="12.75" x14ac:dyDescent="0.2">
      <c r="B251" s="922" t="s">
        <v>217</v>
      </c>
      <c r="C251" s="920" t="s">
        <v>1365</v>
      </c>
    </row>
    <row r="252" spans="2:3" ht="12.75" x14ac:dyDescent="0.2">
      <c r="B252" s="922" t="s">
        <v>407</v>
      </c>
      <c r="C252" s="920" t="s">
        <v>1365</v>
      </c>
    </row>
    <row r="253" spans="2:3" ht="12.75" x14ac:dyDescent="0.2">
      <c r="B253" s="922" t="s">
        <v>408</v>
      </c>
      <c r="C253" s="920" t="s">
        <v>1365</v>
      </c>
    </row>
    <row r="254" spans="2:3" ht="12.75" x14ac:dyDescent="0.2">
      <c r="B254" s="947" t="s">
        <v>1366</v>
      </c>
      <c r="C254" s="920" t="s">
        <v>1365</v>
      </c>
    </row>
    <row r="255" spans="2:3" ht="12.75" x14ac:dyDescent="0.2">
      <c r="B255" s="922" t="s">
        <v>218</v>
      </c>
      <c r="C255" s="920" t="s">
        <v>1365</v>
      </c>
    </row>
    <row r="256" spans="2:3" ht="12.75" x14ac:dyDescent="0.2">
      <c r="B256" s="922" t="s">
        <v>1086</v>
      </c>
      <c r="C256" s="920" t="s">
        <v>1367</v>
      </c>
    </row>
    <row r="257" spans="2:3" ht="12.75" x14ac:dyDescent="0.2">
      <c r="B257" s="922" t="s">
        <v>409</v>
      </c>
      <c r="C257" s="920" t="s">
        <v>1367</v>
      </c>
    </row>
    <row r="258" spans="2:3" ht="12.75" x14ac:dyDescent="0.2">
      <c r="B258" s="922" t="s">
        <v>410</v>
      </c>
      <c r="C258" s="920" t="s">
        <v>1367</v>
      </c>
    </row>
    <row r="259" spans="2:3" ht="12.75" x14ac:dyDescent="0.2">
      <c r="B259" s="922" t="s">
        <v>411</v>
      </c>
      <c r="C259" s="920" t="s">
        <v>1367</v>
      </c>
    </row>
    <row r="260" spans="2:3" ht="12.75" x14ac:dyDescent="0.2">
      <c r="B260" s="922" t="s">
        <v>412</v>
      </c>
      <c r="C260" s="920" t="s">
        <v>1367</v>
      </c>
    </row>
    <row r="261" spans="2:3" ht="12.75" x14ac:dyDescent="0.2">
      <c r="B261" s="922" t="s">
        <v>413</v>
      </c>
      <c r="C261" s="920" t="s">
        <v>1367</v>
      </c>
    </row>
    <row r="262" spans="2:3" ht="12.75" x14ac:dyDescent="0.2">
      <c r="B262" s="922" t="s">
        <v>191</v>
      </c>
      <c r="C262" s="920" t="s">
        <v>1367</v>
      </c>
    </row>
    <row r="263" spans="2:3" ht="12.75" x14ac:dyDescent="0.2">
      <c r="B263" s="922" t="s">
        <v>414</v>
      </c>
      <c r="C263" s="920" t="s">
        <v>1367</v>
      </c>
    </row>
    <row r="264" spans="2:3" ht="12.75" x14ac:dyDescent="0.2">
      <c r="B264" s="922" t="s">
        <v>415</v>
      </c>
      <c r="C264" s="920" t="s">
        <v>1367</v>
      </c>
    </row>
    <row r="265" spans="2:3" ht="12.75" x14ac:dyDescent="0.2">
      <c r="B265" s="922" t="s">
        <v>416</v>
      </c>
      <c r="C265" s="920" t="s">
        <v>1367</v>
      </c>
    </row>
    <row r="266" spans="2:3" ht="12.75" x14ac:dyDescent="0.2">
      <c r="B266" s="922" t="s">
        <v>417</v>
      </c>
      <c r="C266" s="920" t="s">
        <v>1367</v>
      </c>
    </row>
    <row r="267" spans="2:3" ht="12.75" x14ac:dyDescent="0.2">
      <c r="B267" s="922" t="s">
        <v>998</v>
      </c>
      <c r="C267" s="920" t="s">
        <v>1367</v>
      </c>
    </row>
    <row r="268" spans="2:3" ht="12.75" x14ac:dyDescent="0.2">
      <c r="B268" s="922" t="s">
        <v>1072</v>
      </c>
      <c r="C268" s="920" t="s">
        <v>1367</v>
      </c>
    </row>
    <row r="269" spans="2:3" ht="12.75" x14ac:dyDescent="0.2">
      <c r="B269" s="922" t="s">
        <v>418</v>
      </c>
      <c r="C269" s="920" t="s">
        <v>1367</v>
      </c>
    </row>
    <row r="270" spans="2:3" ht="12.75" x14ac:dyDescent="0.2">
      <c r="B270" s="922" t="s">
        <v>419</v>
      </c>
      <c r="C270" s="920" t="s">
        <v>1367</v>
      </c>
    </row>
    <row r="271" spans="2:3" ht="12.75" x14ac:dyDescent="0.2">
      <c r="B271" s="922" t="s">
        <v>420</v>
      </c>
      <c r="C271" s="920" t="s">
        <v>1367</v>
      </c>
    </row>
    <row r="272" spans="2:3" ht="12.75" x14ac:dyDescent="0.2">
      <c r="B272" s="922" t="s">
        <v>421</v>
      </c>
      <c r="C272" s="920" t="s">
        <v>1367</v>
      </c>
    </row>
    <row r="273" spans="2:3" ht="12.75" x14ac:dyDescent="0.2">
      <c r="B273" s="922" t="s">
        <v>207</v>
      </c>
      <c r="C273" s="920" t="s">
        <v>1367</v>
      </c>
    </row>
    <row r="274" spans="2:3" ht="12.75" x14ac:dyDescent="0.2">
      <c r="B274" s="922" t="s">
        <v>422</v>
      </c>
      <c r="C274" s="920" t="s">
        <v>1367</v>
      </c>
    </row>
    <row r="275" spans="2:3" ht="12.75" x14ac:dyDescent="0.2">
      <c r="B275" s="922" t="s">
        <v>423</v>
      </c>
      <c r="C275" s="920" t="s">
        <v>1367</v>
      </c>
    </row>
    <row r="276" spans="2:3" ht="12.75" x14ac:dyDescent="0.2">
      <c r="B276" s="922" t="s">
        <v>424</v>
      </c>
      <c r="C276" s="920" t="s">
        <v>1367</v>
      </c>
    </row>
    <row r="277" spans="2:3" ht="12.75" x14ac:dyDescent="0.2">
      <c r="B277" s="922" t="s">
        <v>425</v>
      </c>
      <c r="C277" s="920" t="s">
        <v>1367</v>
      </c>
    </row>
    <row r="278" spans="2:3" ht="12.75" x14ac:dyDescent="0.2">
      <c r="B278" s="922" t="s">
        <v>426</v>
      </c>
      <c r="C278" s="920" t="s">
        <v>1367</v>
      </c>
    </row>
    <row r="279" spans="2:3" ht="12.75" x14ac:dyDescent="0.2">
      <c r="B279" s="922" t="s">
        <v>427</v>
      </c>
      <c r="C279" s="920" t="s">
        <v>1367</v>
      </c>
    </row>
    <row r="280" spans="2:3" ht="12.75" x14ac:dyDescent="0.2">
      <c r="B280" s="922" t="s">
        <v>428</v>
      </c>
      <c r="C280" s="920" t="s">
        <v>1367</v>
      </c>
    </row>
    <row r="281" spans="2:3" ht="12.75" x14ac:dyDescent="0.2">
      <c r="B281" s="922" t="s">
        <v>1368</v>
      </c>
      <c r="C281" s="920" t="s">
        <v>1367</v>
      </c>
    </row>
    <row r="282" spans="2:3" ht="12.75" x14ac:dyDescent="0.2">
      <c r="B282" s="922" t="s">
        <v>429</v>
      </c>
      <c r="C282" s="920" t="s">
        <v>1367</v>
      </c>
    </row>
    <row r="283" spans="2:3" ht="12.75" x14ac:dyDescent="0.2">
      <c r="B283" s="922" t="s">
        <v>430</v>
      </c>
      <c r="C283" s="920" t="s">
        <v>1367</v>
      </c>
    </row>
    <row r="284" spans="2:3" ht="12.75" x14ac:dyDescent="0.2">
      <c r="B284" s="922" t="s">
        <v>431</v>
      </c>
      <c r="C284" s="920" t="s">
        <v>1367</v>
      </c>
    </row>
    <row r="285" spans="2:3" ht="12.75" x14ac:dyDescent="0.2">
      <c r="B285" s="922" t="s">
        <v>222</v>
      </c>
      <c r="C285" s="920" t="s">
        <v>1367</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F8" sqref="F8"/>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1058</v>
      </c>
      <c r="B1" s="809"/>
      <c r="C1" s="808" t="s">
        <v>1057</v>
      </c>
      <c r="E1" s="807" t="s">
        <v>1056</v>
      </c>
    </row>
    <row r="2" spans="1:5" x14ac:dyDescent="0.2">
      <c r="A2" s="797" t="str">
        <f>B2&amp;" - "&amp;C2</f>
        <v>Vote 1 - City Manager</v>
      </c>
      <c r="B2" s="805" t="s">
        <v>825</v>
      </c>
      <c r="C2" s="803" t="s">
        <v>1386</v>
      </c>
      <c r="E2" s="806"/>
    </row>
    <row r="3" spans="1:5" x14ac:dyDescent="0.2">
      <c r="A3" s="797" t="str">
        <f>B13&amp;" - "&amp; C13</f>
        <v>Vote 2 - City Finance</v>
      </c>
      <c r="B3" s="802">
        <v>1.1000000000000001</v>
      </c>
      <c r="C3" s="801" t="s">
        <v>1387</v>
      </c>
      <c r="D3" s="797" t="str">
        <f t="shared" ref="D3:D12" si="0">CONCATENATE(B3, " - ", C3)</f>
        <v>1,1 - Internal Audit and Compliance</v>
      </c>
      <c r="E3" s="800" t="s">
        <v>1382</v>
      </c>
    </row>
    <row r="4" spans="1:5" x14ac:dyDescent="0.2">
      <c r="A4" s="797" t="str">
        <f>B24&amp;" - "&amp;C24</f>
        <v>Vote 3 - Community Services and Social Equity</v>
      </c>
      <c r="B4" s="802">
        <v>1.2</v>
      </c>
      <c r="C4" s="801" t="s">
        <v>1388</v>
      </c>
      <c r="D4" s="797" t="str">
        <f t="shared" si="0"/>
        <v>1,2 - Office of the City Manager</v>
      </c>
      <c r="E4" s="800" t="s">
        <v>1383</v>
      </c>
    </row>
    <row r="5" spans="1:5" x14ac:dyDescent="0.2">
      <c r="A5" s="797" t="str">
        <f>B35&amp;" - "&amp;C35</f>
        <v>Vote 4 - Corporate Services</v>
      </c>
      <c r="B5" s="802">
        <v>1.3</v>
      </c>
      <c r="C5" s="801" t="s">
        <v>1389</v>
      </c>
      <c r="D5" s="797" t="str">
        <f t="shared" si="0"/>
        <v>1,3 - Political Support</v>
      </c>
      <c r="E5" s="800" t="s">
        <v>1384</v>
      </c>
    </row>
    <row r="6" spans="1:5" x14ac:dyDescent="0.2">
      <c r="A6" s="797" t="str">
        <f>B46&amp;" - "&amp;C46</f>
        <v>Vote 5 - Infrastructure Services</v>
      </c>
      <c r="B6" s="802">
        <v>1.4</v>
      </c>
      <c r="C6" s="801" t="s">
        <v>1390</v>
      </c>
      <c r="D6" s="797" t="str">
        <f t="shared" si="0"/>
        <v>1,4 - Strategic Planning</v>
      </c>
      <c r="E6" s="800" t="s">
        <v>1385</v>
      </c>
    </row>
    <row r="7" spans="1:5" x14ac:dyDescent="0.2">
      <c r="A7" s="797" t="str">
        <f>B57&amp;" - "&amp;C57</f>
        <v>Vote 6 - Sustainable Development and City Enterprises</v>
      </c>
      <c r="B7" s="802">
        <v>1.5</v>
      </c>
      <c r="C7" s="801" t="s">
        <v>1022</v>
      </c>
      <c r="D7" s="797" t="str">
        <f t="shared" si="0"/>
        <v>1,5 - [Name of sub-vote]</v>
      </c>
      <c r="E7" s="800"/>
    </row>
    <row r="8" spans="1:5" x14ac:dyDescent="0.2">
      <c r="A8" s="797" t="str">
        <f>B68&amp;" - "&amp;C68</f>
        <v>Vote 7 - [NAME OF VOTE 7]</v>
      </c>
      <c r="B8" s="802">
        <v>1.6</v>
      </c>
      <c r="C8" s="801" t="s">
        <v>1022</v>
      </c>
      <c r="D8" s="797" t="str">
        <f t="shared" si="0"/>
        <v>1,6 - [Name of sub-vote]</v>
      </c>
      <c r="E8" s="800"/>
    </row>
    <row r="9" spans="1:5" x14ac:dyDescent="0.2">
      <c r="A9" s="797" t="str">
        <f>B79&amp;" - "&amp;C79</f>
        <v>Vote 8 - [NAME OF VOTE 8]</v>
      </c>
      <c r="B9" s="802">
        <v>1.7</v>
      </c>
      <c r="C9" s="801" t="s">
        <v>1022</v>
      </c>
      <c r="D9" s="797" t="str">
        <f t="shared" si="0"/>
        <v>1,7 - [Name of sub-vote]</v>
      </c>
      <c r="E9" s="800"/>
    </row>
    <row r="10" spans="1:5" x14ac:dyDescent="0.2">
      <c r="A10" s="797" t="str">
        <f>B90&amp;" - "&amp;C90</f>
        <v>Vote 9 - [NAME OF VOTE 9]</v>
      </c>
      <c r="B10" s="802">
        <v>1.8</v>
      </c>
      <c r="C10" s="801" t="s">
        <v>1022</v>
      </c>
      <c r="D10" s="797" t="str">
        <f t="shared" si="0"/>
        <v>1,8 - [Name of sub-vote]</v>
      </c>
      <c r="E10" s="800"/>
    </row>
    <row r="11" spans="1:5" x14ac:dyDescent="0.2">
      <c r="A11" s="797" t="str">
        <f>B101&amp;" - "&amp;C101</f>
        <v>Vote 10 - [NAME OF VOTE 10]</v>
      </c>
      <c r="B11" s="802">
        <v>1.9</v>
      </c>
      <c r="C11" s="801" t="s">
        <v>1022</v>
      </c>
      <c r="D11" s="797" t="str">
        <f t="shared" si="0"/>
        <v>1,9 - [Name of sub-vote]</v>
      </c>
      <c r="E11" s="800"/>
    </row>
    <row r="12" spans="1:5" x14ac:dyDescent="0.2">
      <c r="A12" s="797" t="str">
        <f>B112&amp;" - "&amp;C112</f>
        <v>Vote 11 - [NAME OF VOTE 11]</v>
      </c>
      <c r="B12" s="802" t="s">
        <v>1055</v>
      </c>
      <c r="C12" s="801" t="s">
        <v>1022</v>
      </c>
      <c r="D12" s="797" t="str">
        <f t="shared" si="0"/>
        <v>1.10 - [Name of sub-vote]</v>
      </c>
      <c r="E12" s="800"/>
    </row>
    <row r="13" spans="1:5" x14ac:dyDescent="0.2">
      <c r="A13" s="797" t="str">
        <f>B123&amp;" - "&amp;C123</f>
        <v>Vote 12 - [NAME OF VOTE 12]</v>
      </c>
      <c r="B13" s="805" t="s">
        <v>824</v>
      </c>
      <c r="C13" s="803" t="s">
        <v>1391</v>
      </c>
      <c r="E13" s="806"/>
    </row>
    <row r="14" spans="1:5" x14ac:dyDescent="0.2">
      <c r="A14" s="797" t="str">
        <f>B134&amp;" - "&amp;C134</f>
        <v>Vote 13 - [NAME OF VOTE 13]</v>
      </c>
      <c r="B14" s="802">
        <v>2.1</v>
      </c>
      <c r="C14" s="801" t="s">
        <v>1138</v>
      </c>
      <c r="D14" s="797" t="str">
        <f t="shared" ref="D14:D23" si="1">CONCATENATE(B14, " - ", C14)</f>
        <v>2,1 - Asset Management</v>
      </c>
      <c r="E14" s="800" t="s">
        <v>1398</v>
      </c>
    </row>
    <row r="15" spans="1:5" x14ac:dyDescent="0.2">
      <c r="A15" s="797" t="str">
        <f>B145&amp;" - "&amp;C145</f>
        <v>Vote 14 - [NAME OF VOTE 14]</v>
      </c>
      <c r="B15" s="802">
        <v>2.2000000000000002</v>
      </c>
      <c r="C15" s="801" t="s">
        <v>1392</v>
      </c>
      <c r="D15" s="797" t="str">
        <f t="shared" si="1"/>
        <v>2,2 - Budget and Treasury Management</v>
      </c>
      <c r="E15" s="800" t="s">
        <v>1399</v>
      </c>
    </row>
    <row r="16" spans="1:5" x14ac:dyDescent="0.2">
      <c r="A16" s="797" t="str">
        <f>B156&amp;" - "&amp;C156</f>
        <v>Vote 15 - [NAME OF VOTE 15]</v>
      </c>
      <c r="B16" s="802">
        <v>2.2999999999999998</v>
      </c>
      <c r="C16" s="801" t="s">
        <v>1393</v>
      </c>
      <c r="D16" s="797" t="str">
        <f t="shared" si="1"/>
        <v>2,3 - Expenditure Management</v>
      </c>
      <c r="E16" s="800" t="s">
        <v>1400</v>
      </c>
    </row>
    <row r="17" spans="1:5" x14ac:dyDescent="0.2">
      <c r="B17" s="802">
        <v>2.4</v>
      </c>
      <c r="C17" s="801" t="s">
        <v>443</v>
      </c>
      <c r="D17" s="797" t="str">
        <f t="shared" si="1"/>
        <v>2,4 - Revenue Management</v>
      </c>
      <c r="E17" s="800" t="s">
        <v>1401</v>
      </c>
    </row>
    <row r="18" spans="1:5" x14ac:dyDescent="0.2">
      <c r="B18" s="802">
        <v>2.5</v>
      </c>
      <c r="C18" s="801" t="s">
        <v>1394</v>
      </c>
      <c r="D18" s="797" t="str">
        <f t="shared" si="1"/>
        <v>2,5 - Supply Chain Management</v>
      </c>
      <c r="E18" s="800" t="s">
        <v>1402</v>
      </c>
    </row>
    <row r="19" spans="1:5" x14ac:dyDescent="0.2">
      <c r="B19" s="802">
        <v>2.6</v>
      </c>
      <c r="C19" s="801" t="s">
        <v>1022</v>
      </c>
      <c r="D19" s="797" t="str">
        <f t="shared" si="1"/>
        <v>2,6 - [Name of sub-vote]</v>
      </c>
      <c r="E19" s="800"/>
    </row>
    <row r="20" spans="1:5" x14ac:dyDescent="0.2">
      <c r="B20" s="802">
        <v>2.7</v>
      </c>
      <c r="C20" s="801" t="s">
        <v>1022</v>
      </c>
      <c r="D20" s="797" t="str">
        <f t="shared" si="1"/>
        <v>2,7 - [Name of sub-vote]</v>
      </c>
      <c r="E20" s="800"/>
    </row>
    <row r="21" spans="1:5" x14ac:dyDescent="0.2">
      <c r="A21" s="806"/>
      <c r="B21" s="802">
        <v>2.8</v>
      </c>
      <c r="C21" s="801" t="s">
        <v>1022</v>
      </c>
      <c r="D21" s="797" t="str">
        <f t="shared" si="1"/>
        <v>2,8 - [Name of sub-vote]</v>
      </c>
      <c r="E21" s="800"/>
    </row>
    <row r="22" spans="1:5" x14ac:dyDescent="0.2">
      <c r="B22" s="802">
        <v>2.9</v>
      </c>
      <c r="C22" s="801" t="s">
        <v>1022</v>
      </c>
      <c r="D22" s="797" t="str">
        <f t="shared" si="1"/>
        <v>2,9 - [Name of sub-vote]</v>
      </c>
      <c r="E22" s="800"/>
    </row>
    <row r="23" spans="1:5" x14ac:dyDescent="0.2">
      <c r="B23" s="802" t="s">
        <v>1054</v>
      </c>
      <c r="C23" s="801" t="s">
        <v>1022</v>
      </c>
      <c r="D23" s="797" t="str">
        <f t="shared" si="1"/>
        <v>2.10 - [Name of sub-vote]</v>
      </c>
      <c r="E23" s="800"/>
    </row>
    <row r="24" spans="1:5" x14ac:dyDescent="0.2">
      <c r="B24" s="805" t="s">
        <v>823</v>
      </c>
      <c r="C24" s="803" t="s">
        <v>1429</v>
      </c>
      <c r="E24" s="800"/>
    </row>
    <row r="25" spans="1:5" x14ac:dyDescent="0.2">
      <c r="B25" s="802">
        <v>3.1</v>
      </c>
      <c r="C25" s="801" t="s">
        <v>1430</v>
      </c>
      <c r="D25" s="797" t="str">
        <f t="shared" ref="D25:D34" si="2">CONCATENATE(B25, " - ", C25)</f>
        <v xml:space="preserve">3,1 - Area Based Management </v>
      </c>
      <c r="E25" s="800" t="s">
        <v>1434</v>
      </c>
    </row>
    <row r="26" spans="1:5" x14ac:dyDescent="0.2">
      <c r="B26" s="802">
        <v>3.2</v>
      </c>
      <c r="C26" s="801" t="s">
        <v>1431</v>
      </c>
      <c r="D26" s="797" t="str">
        <f t="shared" si="2"/>
        <v>3,2 - Public Safety, Emergency Services and Enforcement</v>
      </c>
      <c r="E26" s="800" t="s">
        <v>1435</v>
      </c>
    </row>
    <row r="27" spans="1:5" x14ac:dyDescent="0.2">
      <c r="B27" s="802">
        <v>3.3</v>
      </c>
      <c r="C27" s="801" t="s">
        <v>1432</v>
      </c>
      <c r="D27" s="797" t="str">
        <f t="shared" si="2"/>
        <v>3,3 - Recreation and Facilities</v>
      </c>
      <c r="E27" s="800" t="s">
        <v>1436</v>
      </c>
    </row>
    <row r="28" spans="1:5" x14ac:dyDescent="0.2">
      <c r="B28" s="802">
        <v>3.4</v>
      </c>
      <c r="C28" s="801" t="s">
        <v>1433</v>
      </c>
      <c r="D28" s="797" t="str">
        <f t="shared" si="2"/>
        <v>3,4 - Waste Management</v>
      </c>
      <c r="E28" s="800" t="s">
        <v>1437</v>
      </c>
    </row>
    <row r="29" spans="1:5" x14ac:dyDescent="0.2">
      <c r="B29" s="802">
        <v>3.5</v>
      </c>
      <c r="C29" s="801" t="s">
        <v>1022</v>
      </c>
      <c r="D29" s="797" t="str">
        <f t="shared" si="2"/>
        <v>3,5 - [Name of sub-vote]</v>
      </c>
      <c r="E29" s="800"/>
    </row>
    <row r="30" spans="1:5" x14ac:dyDescent="0.2">
      <c r="B30" s="802">
        <v>3.6</v>
      </c>
      <c r="C30" s="801" t="s">
        <v>1022</v>
      </c>
      <c r="D30" s="797" t="str">
        <f t="shared" si="2"/>
        <v>3,6 - [Name of sub-vote]</v>
      </c>
      <c r="E30" s="800"/>
    </row>
    <row r="31" spans="1:5" x14ac:dyDescent="0.2">
      <c r="B31" s="802">
        <v>3.7</v>
      </c>
      <c r="C31" s="801" t="s">
        <v>1022</v>
      </c>
      <c r="D31" s="797" t="str">
        <f t="shared" si="2"/>
        <v>3,7 - [Name of sub-vote]</v>
      </c>
      <c r="E31" s="800"/>
    </row>
    <row r="32" spans="1:5" x14ac:dyDescent="0.2">
      <c r="B32" s="802">
        <v>3.8</v>
      </c>
      <c r="C32" s="801" t="s">
        <v>1022</v>
      </c>
      <c r="D32" s="797" t="str">
        <f t="shared" si="2"/>
        <v>3,8 - [Name of sub-vote]</v>
      </c>
      <c r="E32" s="800"/>
    </row>
    <row r="33" spans="2:5" x14ac:dyDescent="0.2">
      <c r="B33" s="802">
        <v>3.9</v>
      </c>
      <c r="C33" s="801" t="s">
        <v>1022</v>
      </c>
      <c r="D33" s="797" t="str">
        <f t="shared" si="2"/>
        <v>3,9 - [Name of sub-vote]</v>
      </c>
      <c r="E33" s="800"/>
    </row>
    <row r="34" spans="2:5" x14ac:dyDescent="0.2">
      <c r="B34" s="802" t="s">
        <v>1053</v>
      </c>
      <c r="C34" s="801" t="s">
        <v>1022</v>
      </c>
      <c r="D34" s="797" t="str">
        <f t="shared" si="2"/>
        <v>3.10 - [Name of sub-vote]</v>
      </c>
      <c r="E34" s="800"/>
    </row>
    <row r="35" spans="2:5" x14ac:dyDescent="0.2">
      <c r="B35" s="805" t="s">
        <v>822</v>
      </c>
      <c r="C35" s="803" t="s">
        <v>1395</v>
      </c>
      <c r="E35" s="800"/>
    </row>
    <row r="36" spans="2:5" x14ac:dyDescent="0.2">
      <c r="B36" s="802">
        <v>4.0999999999999996</v>
      </c>
      <c r="C36" s="801" t="s">
        <v>1396</v>
      </c>
      <c r="D36" s="797" t="str">
        <f t="shared" ref="D36:D45" si="3">CONCATENATE(B36, " - ", C36)</f>
        <v>4,1 - Human Resources Management</v>
      </c>
      <c r="E36" s="800" t="s">
        <v>1404</v>
      </c>
    </row>
    <row r="37" spans="2:5" x14ac:dyDescent="0.2">
      <c r="B37" s="802">
        <v>4.2</v>
      </c>
      <c r="C37" s="801" t="s">
        <v>168</v>
      </c>
      <c r="D37" s="797" t="str">
        <f t="shared" si="3"/>
        <v>4,2 - Information Technology</v>
      </c>
      <c r="E37" s="800" t="s">
        <v>1403</v>
      </c>
    </row>
    <row r="38" spans="2:5" x14ac:dyDescent="0.2">
      <c r="B38" s="802">
        <v>4.3</v>
      </c>
      <c r="C38" s="801" t="s">
        <v>1141</v>
      </c>
      <c r="D38" s="797" t="str">
        <f t="shared" si="3"/>
        <v>4,3 - Legal Services</v>
      </c>
      <c r="E38" s="800" t="s">
        <v>1405</v>
      </c>
    </row>
    <row r="39" spans="2:5" x14ac:dyDescent="0.2">
      <c r="B39" s="802">
        <v>4.4000000000000004</v>
      </c>
      <c r="C39" s="801" t="s">
        <v>1397</v>
      </c>
      <c r="D39" s="797" t="str">
        <f t="shared" si="3"/>
        <v>4,4 - Secretariat and Auxiliary Services</v>
      </c>
      <c r="E39" s="800" t="s">
        <v>1406</v>
      </c>
    </row>
    <row r="40" spans="2:5" x14ac:dyDescent="0.2">
      <c r="B40" s="802">
        <v>4.5</v>
      </c>
      <c r="C40" s="801" t="s">
        <v>1426</v>
      </c>
      <c r="D40" s="797" t="str">
        <f t="shared" si="3"/>
        <v>4,5 - General Manager: Corporate Service</v>
      </c>
      <c r="E40" s="800" t="s">
        <v>1438</v>
      </c>
    </row>
    <row r="41" spans="2:5" x14ac:dyDescent="0.2">
      <c r="B41" s="802">
        <v>4.5999999999999996</v>
      </c>
      <c r="C41" s="801" t="s">
        <v>1022</v>
      </c>
      <c r="D41" s="797" t="str">
        <f t="shared" si="3"/>
        <v>4,6 - [Name of sub-vote]</v>
      </c>
      <c r="E41" s="800"/>
    </row>
    <row r="42" spans="2:5" x14ac:dyDescent="0.2">
      <c r="B42" s="802">
        <v>4.7</v>
      </c>
      <c r="C42" s="801" t="s">
        <v>1022</v>
      </c>
      <c r="D42" s="797" t="str">
        <f t="shared" si="3"/>
        <v>4,7 - [Name of sub-vote]</v>
      </c>
      <c r="E42" s="800"/>
    </row>
    <row r="43" spans="2:5" x14ac:dyDescent="0.2">
      <c r="B43" s="802">
        <v>4.8</v>
      </c>
      <c r="C43" s="801" t="s">
        <v>1022</v>
      </c>
      <c r="D43" s="797" t="str">
        <f t="shared" si="3"/>
        <v>4,8 - [Name of sub-vote]</v>
      </c>
      <c r="E43" s="800"/>
    </row>
    <row r="44" spans="2:5" x14ac:dyDescent="0.2">
      <c r="B44" s="802">
        <v>4.9000000000000004</v>
      </c>
      <c r="C44" s="801" t="s">
        <v>1022</v>
      </c>
      <c r="D44" s="797" t="str">
        <f t="shared" si="3"/>
        <v>4,9 - [Name of sub-vote]</v>
      </c>
      <c r="E44" s="800"/>
    </row>
    <row r="45" spans="2:5" x14ac:dyDescent="0.2">
      <c r="B45" s="802" t="s">
        <v>1052</v>
      </c>
      <c r="C45" s="801" t="s">
        <v>1022</v>
      </c>
      <c r="D45" s="797" t="str">
        <f t="shared" si="3"/>
        <v>4.10 - [Name of sub-vote]</v>
      </c>
      <c r="E45" s="800"/>
    </row>
    <row r="46" spans="2:5" x14ac:dyDescent="0.2">
      <c r="B46" s="805" t="s">
        <v>821</v>
      </c>
      <c r="C46" s="803" t="s">
        <v>1407</v>
      </c>
      <c r="E46" s="800"/>
    </row>
    <row r="47" spans="2:5" x14ac:dyDescent="0.2">
      <c r="B47" s="802">
        <v>5.0999999999999996</v>
      </c>
      <c r="C47" s="801" t="s">
        <v>1408</v>
      </c>
      <c r="D47" s="797" t="str">
        <f t="shared" ref="D47:D56" si="4">CONCATENATE(B47, " - ", C47)</f>
        <v>5,1 - Electricity</v>
      </c>
      <c r="E47" s="800" t="s">
        <v>1412</v>
      </c>
    </row>
    <row r="48" spans="2:5" x14ac:dyDescent="0.2">
      <c r="B48" s="802">
        <v>5.2</v>
      </c>
      <c r="C48" s="801" t="s">
        <v>1409</v>
      </c>
      <c r="D48" s="797" t="str">
        <f t="shared" si="4"/>
        <v>5,2 - Project Management Office</v>
      </c>
      <c r="E48" s="800" t="s">
        <v>1413</v>
      </c>
    </row>
    <row r="49" spans="2:5" x14ac:dyDescent="0.2">
      <c r="B49" s="802">
        <v>5.3</v>
      </c>
      <c r="C49" s="801" t="s">
        <v>1410</v>
      </c>
      <c r="D49" s="797" t="str">
        <f t="shared" si="4"/>
        <v>5,3 - Roads and Transportation</v>
      </c>
      <c r="E49" s="800" t="s">
        <v>1414</v>
      </c>
    </row>
    <row r="50" spans="2:5" x14ac:dyDescent="0.2">
      <c r="B50" s="802">
        <v>5.4</v>
      </c>
      <c r="C50" s="801" t="s">
        <v>1411</v>
      </c>
      <c r="D50" s="797" t="str">
        <f t="shared" si="4"/>
        <v>5,4 - Water and Sanitation</v>
      </c>
      <c r="E50" s="800" t="s">
        <v>1415</v>
      </c>
    </row>
    <row r="51" spans="2:5" x14ac:dyDescent="0.2">
      <c r="B51" s="802">
        <v>5.5</v>
      </c>
      <c r="C51" s="801" t="s">
        <v>1427</v>
      </c>
      <c r="D51" s="797" t="str">
        <f t="shared" si="4"/>
        <v xml:space="preserve">5,5 - General Manager: Infrastructure </v>
      </c>
      <c r="E51" s="800" t="s">
        <v>1428</v>
      </c>
    </row>
    <row r="52" spans="2:5" x14ac:dyDescent="0.2">
      <c r="B52" s="802">
        <v>5.6</v>
      </c>
      <c r="C52" s="801" t="s">
        <v>1022</v>
      </c>
      <c r="D52" s="797" t="str">
        <f t="shared" si="4"/>
        <v>5,6 - [Name of sub-vote]</v>
      </c>
      <c r="E52" s="800"/>
    </row>
    <row r="53" spans="2:5" x14ac:dyDescent="0.2">
      <c r="B53" s="802">
        <v>5.7</v>
      </c>
      <c r="C53" s="801" t="s">
        <v>1022</v>
      </c>
      <c r="D53" s="797" t="str">
        <f t="shared" si="4"/>
        <v>5,7 - [Name of sub-vote]</v>
      </c>
      <c r="E53" s="800"/>
    </row>
    <row r="54" spans="2:5" x14ac:dyDescent="0.2">
      <c r="B54" s="802">
        <v>5.8</v>
      </c>
      <c r="C54" s="801" t="s">
        <v>1022</v>
      </c>
      <c r="D54" s="797" t="str">
        <f t="shared" si="4"/>
        <v>5,8 - [Name of sub-vote]</v>
      </c>
      <c r="E54" s="800"/>
    </row>
    <row r="55" spans="2:5" x14ac:dyDescent="0.2">
      <c r="B55" s="802">
        <v>5.9</v>
      </c>
      <c r="C55" s="801" t="s">
        <v>1022</v>
      </c>
      <c r="D55" s="797" t="str">
        <f t="shared" si="4"/>
        <v>5,9 - [Name of sub-vote]</v>
      </c>
      <c r="E55" s="800"/>
    </row>
    <row r="56" spans="2:5" x14ac:dyDescent="0.2">
      <c r="B56" s="802" t="s">
        <v>1051</v>
      </c>
      <c r="C56" s="801" t="s">
        <v>1022</v>
      </c>
      <c r="D56" s="797" t="str">
        <f t="shared" si="4"/>
        <v>5.10 - [Name of sub-vote]</v>
      </c>
      <c r="E56" s="800"/>
    </row>
    <row r="57" spans="2:5" x14ac:dyDescent="0.2">
      <c r="B57" s="805" t="s">
        <v>820</v>
      </c>
      <c r="C57" s="803" t="s">
        <v>1416</v>
      </c>
      <c r="E57" s="800"/>
    </row>
    <row r="58" spans="2:5" x14ac:dyDescent="0.2">
      <c r="B58" s="802">
        <v>6.1</v>
      </c>
      <c r="C58" s="801" t="s">
        <v>1417</v>
      </c>
      <c r="D58" s="797" t="str">
        <f t="shared" ref="D58:D67" si="5">CONCATENATE(B58, " - ", C58)</f>
        <v>6,1 - City Entities</v>
      </c>
      <c r="E58" s="800" t="s">
        <v>1421</v>
      </c>
    </row>
    <row r="59" spans="2:5" x14ac:dyDescent="0.2">
      <c r="B59" s="802">
        <v>6.2</v>
      </c>
      <c r="C59" s="801" t="s">
        <v>1418</v>
      </c>
      <c r="D59" s="797" t="str">
        <f t="shared" si="5"/>
        <v>6,2 - Development Services</v>
      </c>
      <c r="E59" s="800" t="s">
        <v>1422</v>
      </c>
    </row>
    <row r="60" spans="2:5" x14ac:dyDescent="0.2">
      <c r="B60" s="802">
        <v>6.3</v>
      </c>
      <c r="C60" s="801" t="s">
        <v>1419</v>
      </c>
      <c r="D60" s="797" t="str">
        <f t="shared" si="5"/>
        <v>6,3 - Human Settlement Development</v>
      </c>
      <c r="E60" s="800" t="s">
        <v>1423</v>
      </c>
    </row>
    <row r="61" spans="2:5" x14ac:dyDescent="0.2">
      <c r="B61" s="802">
        <v>6.4</v>
      </c>
      <c r="C61" s="801" t="s">
        <v>1420</v>
      </c>
      <c r="D61" s="797" t="str">
        <f t="shared" si="5"/>
        <v>6,4 - Town Planning</v>
      </c>
      <c r="E61" s="800" t="s">
        <v>1424</v>
      </c>
    </row>
    <row r="62" spans="2:5" x14ac:dyDescent="0.2">
      <c r="B62" s="802">
        <v>6.5</v>
      </c>
      <c r="C62" s="801" t="s">
        <v>1439</v>
      </c>
      <c r="D62" s="797" t="str">
        <f t="shared" si="5"/>
        <v>6,5 - 6.5 - General Manager: Sustainable Development and City Enterprises</v>
      </c>
      <c r="E62" s="800" t="s">
        <v>1440</v>
      </c>
    </row>
    <row r="63" spans="2:5" x14ac:dyDescent="0.2">
      <c r="B63" s="802">
        <v>6.6</v>
      </c>
      <c r="C63" s="801" t="s">
        <v>1022</v>
      </c>
      <c r="D63" s="797" t="str">
        <f t="shared" si="5"/>
        <v>6,6 - [Name of sub-vote]</v>
      </c>
      <c r="E63" s="800"/>
    </row>
    <row r="64" spans="2:5" x14ac:dyDescent="0.2">
      <c r="B64" s="802">
        <v>6.7</v>
      </c>
      <c r="C64" s="801" t="s">
        <v>1022</v>
      </c>
      <c r="D64" s="797" t="str">
        <f t="shared" si="5"/>
        <v>6,7 - [Name of sub-vote]</v>
      </c>
      <c r="E64" s="800"/>
    </row>
    <row r="65" spans="2:5" x14ac:dyDescent="0.2">
      <c r="B65" s="802">
        <v>6.8</v>
      </c>
      <c r="C65" s="801" t="s">
        <v>1022</v>
      </c>
      <c r="D65" s="797" t="str">
        <f t="shared" si="5"/>
        <v>6,8 - [Name of sub-vote]</v>
      </c>
      <c r="E65" s="800"/>
    </row>
    <row r="66" spans="2:5" x14ac:dyDescent="0.2">
      <c r="B66" s="802">
        <v>6.9</v>
      </c>
      <c r="C66" s="801" t="s">
        <v>1022</v>
      </c>
      <c r="D66" s="797" t="str">
        <f t="shared" si="5"/>
        <v>6,9 - [Name of sub-vote]</v>
      </c>
      <c r="E66" s="800"/>
    </row>
    <row r="67" spans="2:5" x14ac:dyDescent="0.2">
      <c r="B67" s="802" t="s">
        <v>1050</v>
      </c>
      <c r="C67" s="801" t="s">
        <v>1022</v>
      </c>
      <c r="D67" s="797" t="str">
        <f t="shared" si="5"/>
        <v>6.10 - [Name of sub-vote]</v>
      </c>
      <c r="E67" s="800"/>
    </row>
    <row r="68" spans="2:5" x14ac:dyDescent="0.2">
      <c r="B68" s="804" t="s">
        <v>819</v>
      </c>
      <c r="C68" s="803" t="s">
        <v>1049</v>
      </c>
      <c r="E68" s="800"/>
    </row>
    <row r="69" spans="2:5" x14ac:dyDescent="0.2">
      <c r="B69" s="802">
        <v>7.1</v>
      </c>
      <c r="C69" s="801" t="s">
        <v>1022</v>
      </c>
      <c r="D69" s="797" t="str">
        <f t="shared" ref="D69:D78" si="6">CONCATENATE(B69, " - ", C69)</f>
        <v>7,1 - [Name of sub-vote]</v>
      </c>
      <c r="E69" s="800" t="s">
        <v>1048</v>
      </c>
    </row>
    <row r="70" spans="2:5" x14ac:dyDescent="0.2">
      <c r="B70" s="802">
        <v>7.2</v>
      </c>
      <c r="C70" s="801" t="s">
        <v>1022</v>
      </c>
      <c r="D70" s="797" t="str">
        <f t="shared" si="6"/>
        <v>7,2 - [Name of sub-vote]</v>
      </c>
      <c r="E70" s="800"/>
    </row>
    <row r="71" spans="2:5" x14ac:dyDescent="0.2">
      <c r="B71" s="802">
        <v>7.3</v>
      </c>
      <c r="C71" s="801" t="s">
        <v>1022</v>
      </c>
      <c r="D71" s="797" t="str">
        <f t="shared" si="6"/>
        <v>7,3 - [Name of sub-vote]</v>
      </c>
      <c r="E71" s="800"/>
    </row>
    <row r="72" spans="2:5" x14ac:dyDescent="0.2">
      <c r="B72" s="802">
        <v>7.4</v>
      </c>
      <c r="C72" s="801" t="s">
        <v>1022</v>
      </c>
      <c r="D72" s="797" t="str">
        <f t="shared" si="6"/>
        <v>7,4 - [Name of sub-vote]</v>
      </c>
      <c r="E72" s="800"/>
    </row>
    <row r="73" spans="2:5" x14ac:dyDescent="0.2">
      <c r="B73" s="802">
        <v>7.5</v>
      </c>
      <c r="C73" s="801" t="s">
        <v>1022</v>
      </c>
      <c r="D73" s="797" t="str">
        <f t="shared" si="6"/>
        <v>7,5 - [Name of sub-vote]</v>
      </c>
      <c r="E73" s="800"/>
    </row>
    <row r="74" spans="2:5" x14ac:dyDescent="0.2">
      <c r="B74" s="802">
        <v>7.6</v>
      </c>
      <c r="C74" s="801" t="s">
        <v>1022</v>
      </c>
      <c r="D74" s="797" t="str">
        <f t="shared" si="6"/>
        <v>7,6 - [Name of sub-vote]</v>
      </c>
      <c r="E74" s="800"/>
    </row>
    <row r="75" spans="2:5" x14ac:dyDescent="0.2">
      <c r="B75" s="802">
        <v>7.7</v>
      </c>
      <c r="C75" s="801" t="s">
        <v>1022</v>
      </c>
      <c r="D75" s="797" t="str">
        <f t="shared" si="6"/>
        <v>7,7 - [Name of sub-vote]</v>
      </c>
      <c r="E75" s="800"/>
    </row>
    <row r="76" spans="2:5" x14ac:dyDescent="0.2">
      <c r="B76" s="802">
        <v>7.8</v>
      </c>
      <c r="C76" s="801" t="s">
        <v>1022</v>
      </c>
      <c r="D76" s="797" t="str">
        <f t="shared" si="6"/>
        <v>7,8 - [Name of sub-vote]</v>
      </c>
      <c r="E76" s="800"/>
    </row>
    <row r="77" spans="2:5" x14ac:dyDescent="0.2">
      <c r="B77" s="802">
        <v>7.9</v>
      </c>
      <c r="C77" s="801" t="s">
        <v>1022</v>
      </c>
      <c r="D77" s="797" t="str">
        <f t="shared" si="6"/>
        <v>7,9 - [Name of sub-vote]</v>
      </c>
      <c r="E77" s="800"/>
    </row>
    <row r="78" spans="2:5" x14ac:dyDescent="0.2">
      <c r="B78" s="802" t="s">
        <v>1047</v>
      </c>
      <c r="C78" s="801" t="s">
        <v>1022</v>
      </c>
      <c r="D78" s="797" t="str">
        <f t="shared" si="6"/>
        <v>7.10 - [Name of sub-vote]</v>
      </c>
      <c r="E78" s="800"/>
    </row>
    <row r="79" spans="2:5" x14ac:dyDescent="0.2">
      <c r="B79" s="804" t="s">
        <v>818</v>
      </c>
      <c r="C79" s="803" t="s">
        <v>1046</v>
      </c>
      <c r="E79" s="800"/>
    </row>
    <row r="80" spans="2:5" x14ac:dyDescent="0.2">
      <c r="B80" s="802">
        <v>8.1</v>
      </c>
      <c r="C80" s="801" t="s">
        <v>1022</v>
      </c>
      <c r="D80" s="797" t="str">
        <f t="shared" ref="D80:D89" si="7">CONCATENATE(B80, " - ", C80)</f>
        <v>8,1 - [Name of sub-vote]</v>
      </c>
      <c r="E80" s="800" t="s">
        <v>1045</v>
      </c>
    </row>
    <row r="81" spans="2:5" x14ac:dyDescent="0.2">
      <c r="B81" s="802">
        <v>8.1999999999999993</v>
      </c>
      <c r="C81" s="801" t="s">
        <v>1022</v>
      </c>
      <c r="D81" s="797" t="str">
        <f t="shared" si="7"/>
        <v>8,2 - [Name of sub-vote]</v>
      </c>
      <c r="E81" s="800"/>
    </row>
    <row r="82" spans="2:5" x14ac:dyDescent="0.2">
      <c r="B82" s="802">
        <v>8.3000000000000007</v>
      </c>
      <c r="C82" s="801" t="s">
        <v>1022</v>
      </c>
      <c r="D82" s="797" t="str">
        <f t="shared" si="7"/>
        <v>8,3 - [Name of sub-vote]</v>
      </c>
      <c r="E82" s="800"/>
    </row>
    <row r="83" spans="2:5" x14ac:dyDescent="0.2">
      <c r="B83" s="802">
        <v>8.4</v>
      </c>
      <c r="C83" s="801" t="s">
        <v>1022</v>
      </c>
      <c r="D83" s="797" t="str">
        <f t="shared" si="7"/>
        <v>8,4 - [Name of sub-vote]</v>
      </c>
      <c r="E83" s="800"/>
    </row>
    <row r="84" spans="2:5" x14ac:dyDescent="0.2">
      <c r="B84" s="802">
        <v>8.5</v>
      </c>
      <c r="C84" s="801" t="s">
        <v>1022</v>
      </c>
      <c r="D84" s="797" t="str">
        <f t="shared" si="7"/>
        <v>8,5 - [Name of sub-vote]</v>
      </c>
      <c r="E84" s="800"/>
    </row>
    <row r="85" spans="2:5" x14ac:dyDescent="0.2">
      <c r="B85" s="802">
        <v>8.6</v>
      </c>
      <c r="C85" s="801" t="s">
        <v>1022</v>
      </c>
      <c r="D85" s="797" t="str">
        <f t="shared" si="7"/>
        <v>8,6 - [Name of sub-vote]</v>
      </c>
      <c r="E85" s="800"/>
    </row>
    <row r="86" spans="2:5" x14ac:dyDescent="0.2">
      <c r="B86" s="802">
        <v>8.6999999999999993</v>
      </c>
      <c r="C86" s="801" t="s">
        <v>1022</v>
      </c>
      <c r="D86" s="797" t="str">
        <f t="shared" si="7"/>
        <v>8,7 - [Name of sub-vote]</v>
      </c>
      <c r="E86" s="800"/>
    </row>
    <row r="87" spans="2:5" x14ac:dyDescent="0.2">
      <c r="B87" s="802">
        <v>8.8000000000000007</v>
      </c>
      <c r="C87" s="801" t="s">
        <v>1022</v>
      </c>
      <c r="D87" s="797" t="str">
        <f t="shared" si="7"/>
        <v>8,8 - [Name of sub-vote]</v>
      </c>
      <c r="E87" s="800"/>
    </row>
    <row r="88" spans="2:5" x14ac:dyDescent="0.2">
      <c r="B88" s="802">
        <v>8.9</v>
      </c>
      <c r="C88" s="801" t="s">
        <v>1022</v>
      </c>
      <c r="D88" s="797" t="str">
        <f t="shared" si="7"/>
        <v>8,9 - [Name of sub-vote]</v>
      </c>
      <c r="E88" s="800"/>
    </row>
    <row r="89" spans="2:5" x14ac:dyDescent="0.2">
      <c r="B89" s="802" t="s">
        <v>1044</v>
      </c>
      <c r="C89" s="801" t="s">
        <v>1022</v>
      </c>
      <c r="D89" s="797" t="str">
        <f t="shared" si="7"/>
        <v>8.10 - [Name of sub-vote]</v>
      </c>
      <c r="E89" s="800"/>
    </row>
    <row r="90" spans="2:5" x14ac:dyDescent="0.2">
      <c r="B90" s="804" t="s">
        <v>817</v>
      </c>
      <c r="C90" s="803" t="s">
        <v>1043</v>
      </c>
      <c r="E90" s="800"/>
    </row>
    <row r="91" spans="2:5" x14ac:dyDescent="0.2">
      <c r="B91" s="802">
        <v>9.1</v>
      </c>
      <c r="C91" s="801" t="s">
        <v>1022</v>
      </c>
      <c r="D91" s="797" t="str">
        <f t="shared" ref="D91:D100" si="8">CONCATENATE(B91, " - ", C91)</f>
        <v>9,1 - [Name of sub-vote]</v>
      </c>
      <c r="E91" s="800" t="s">
        <v>1042</v>
      </c>
    </row>
    <row r="92" spans="2:5" x14ac:dyDescent="0.2">
      <c r="B92" s="802">
        <v>9.1999999999999993</v>
      </c>
      <c r="C92" s="801" t="s">
        <v>1022</v>
      </c>
      <c r="D92" s="797" t="str">
        <f t="shared" si="8"/>
        <v>9,2 - [Name of sub-vote]</v>
      </c>
      <c r="E92" s="800"/>
    </row>
    <row r="93" spans="2:5" x14ac:dyDescent="0.2">
      <c r="B93" s="802">
        <v>9.3000000000000007</v>
      </c>
      <c r="C93" s="801" t="s">
        <v>1022</v>
      </c>
      <c r="D93" s="797" t="str">
        <f t="shared" si="8"/>
        <v>9,3 - [Name of sub-vote]</v>
      </c>
      <c r="E93" s="800"/>
    </row>
    <row r="94" spans="2:5" x14ac:dyDescent="0.2">
      <c r="B94" s="802">
        <v>9.4</v>
      </c>
      <c r="C94" s="801" t="s">
        <v>1022</v>
      </c>
      <c r="D94" s="797" t="str">
        <f t="shared" si="8"/>
        <v>9,4 - [Name of sub-vote]</v>
      </c>
      <c r="E94" s="800"/>
    </row>
    <row r="95" spans="2:5" x14ac:dyDescent="0.2">
      <c r="B95" s="802">
        <v>9.5</v>
      </c>
      <c r="C95" s="801" t="s">
        <v>1022</v>
      </c>
      <c r="D95" s="797" t="str">
        <f t="shared" si="8"/>
        <v>9,5 - [Name of sub-vote]</v>
      </c>
      <c r="E95" s="800"/>
    </row>
    <row r="96" spans="2:5" x14ac:dyDescent="0.2">
      <c r="B96" s="802">
        <v>9.6</v>
      </c>
      <c r="C96" s="801" t="s">
        <v>1022</v>
      </c>
      <c r="D96" s="797" t="str">
        <f t="shared" si="8"/>
        <v>9,6 - [Name of sub-vote]</v>
      </c>
      <c r="E96" s="800"/>
    </row>
    <row r="97" spans="2:5" x14ac:dyDescent="0.2">
      <c r="B97" s="802">
        <v>9.6999999999999993</v>
      </c>
      <c r="C97" s="801" t="s">
        <v>1022</v>
      </c>
      <c r="D97" s="797" t="str">
        <f t="shared" si="8"/>
        <v>9,7 - [Name of sub-vote]</v>
      </c>
      <c r="E97" s="800"/>
    </row>
    <row r="98" spans="2:5" x14ac:dyDescent="0.2">
      <c r="B98" s="802">
        <v>9.8000000000000007</v>
      </c>
      <c r="C98" s="801" t="s">
        <v>1022</v>
      </c>
      <c r="D98" s="797" t="str">
        <f t="shared" si="8"/>
        <v>9,8 - [Name of sub-vote]</v>
      </c>
      <c r="E98" s="800"/>
    </row>
    <row r="99" spans="2:5" x14ac:dyDescent="0.2">
      <c r="B99" s="802">
        <v>9.9</v>
      </c>
      <c r="C99" s="801" t="s">
        <v>1022</v>
      </c>
      <c r="D99" s="797" t="str">
        <f t="shared" si="8"/>
        <v>9,9 - [Name of sub-vote]</v>
      </c>
      <c r="E99" s="800"/>
    </row>
    <row r="100" spans="2:5" x14ac:dyDescent="0.2">
      <c r="B100" s="802" t="s">
        <v>1041</v>
      </c>
      <c r="C100" s="801" t="s">
        <v>1022</v>
      </c>
      <c r="D100" s="797" t="str">
        <f t="shared" si="8"/>
        <v>9.10 - [Name of sub-vote]</v>
      </c>
      <c r="E100" s="800"/>
    </row>
    <row r="101" spans="2:5" x14ac:dyDescent="0.2">
      <c r="B101" s="804" t="s">
        <v>816</v>
      </c>
      <c r="C101" s="803" t="s">
        <v>1040</v>
      </c>
      <c r="E101" s="800"/>
    </row>
    <row r="102" spans="2:5" x14ac:dyDescent="0.2">
      <c r="B102" s="802">
        <v>10.1</v>
      </c>
      <c r="C102" s="801" t="s">
        <v>1022</v>
      </c>
      <c r="D102" s="797" t="str">
        <f t="shared" ref="D102:D111" si="9">CONCATENATE(B102, " - ", C102)</f>
        <v>10,1 - [Name of sub-vote]</v>
      </c>
      <c r="E102" s="800" t="s">
        <v>1039</v>
      </c>
    </row>
    <row r="103" spans="2:5" x14ac:dyDescent="0.2">
      <c r="B103" s="802">
        <v>10.199999999999999</v>
      </c>
      <c r="C103" s="801" t="s">
        <v>1022</v>
      </c>
      <c r="D103" s="797" t="str">
        <f t="shared" si="9"/>
        <v>10,2 - [Name of sub-vote]</v>
      </c>
      <c r="E103" s="800"/>
    </row>
    <row r="104" spans="2:5" x14ac:dyDescent="0.2">
      <c r="B104" s="802">
        <v>10.3</v>
      </c>
      <c r="C104" s="801" t="s">
        <v>1022</v>
      </c>
      <c r="D104" s="797" t="str">
        <f t="shared" si="9"/>
        <v>10,3 - [Name of sub-vote]</v>
      </c>
      <c r="E104" s="800"/>
    </row>
    <row r="105" spans="2:5" x14ac:dyDescent="0.2">
      <c r="B105" s="802">
        <v>10.4</v>
      </c>
      <c r="C105" s="801" t="s">
        <v>1022</v>
      </c>
      <c r="D105" s="797" t="str">
        <f t="shared" si="9"/>
        <v>10,4 - [Name of sub-vote]</v>
      </c>
      <c r="E105" s="800"/>
    </row>
    <row r="106" spans="2:5" x14ac:dyDescent="0.2">
      <c r="B106" s="802">
        <v>10.5</v>
      </c>
      <c r="C106" s="801" t="s">
        <v>1022</v>
      </c>
      <c r="D106" s="797" t="str">
        <f t="shared" si="9"/>
        <v>10,5 - [Name of sub-vote]</v>
      </c>
      <c r="E106" s="800"/>
    </row>
    <row r="107" spans="2:5" x14ac:dyDescent="0.2">
      <c r="B107" s="802">
        <v>10.6</v>
      </c>
      <c r="C107" s="801" t="s">
        <v>1022</v>
      </c>
      <c r="D107" s="797" t="str">
        <f t="shared" si="9"/>
        <v>10,6 - [Name of sub-vote]</v>
      </c>
      <c r="E107" s="800"/>
    </row>
    <row r="108" spans="2:5" x14ac:dyDescent="0.2">
      <c r="B108" s="802">
        <v>10.7</v>
      </c>
      <c r="C108" s="801" t="s">
        <v>1022</v>
      </c>
      <c r="D108" s="797" t="str">
        <f t="shared" si="9"/>
        <v>10,7 - [Name of sub-vote]</v>
      </c>
      <c r="E108" s="800"/>
    </row>
    <row r="109" spans="2:5" x14ac:dyDescent="0.2">
      <c r="B109" s="802">
        <v>10.8</v>
      </c>
      <c r="C109" s="801" t="s">
        <v>1022</v>
      </c>
      <c r="D109" s="797" t="str">
        <f t="shared" si="9"/>
        <v>10,8 - [Name of sub-vote]</v>
      </c>
      <c r="E109" s="800"/>
    </row>
    <row r="110" spans="2:5" x14ac:dyDescent="0.2">
      <c r="B110" s="802">
        <v>10.9</v>
      </c>
      <c r="C110" s="801" t="s">
        <v>1022</v>
      </c>
      <c r="D110" s="797" t="str">
        <f t="shared" si="9"/>
        <v>10,9 - [Name of sub-vote]</v>
      </c>
      <c r="E110" s="800"/>
    </row>
    <row r="111" spans="2:5" x14ac:dyDescent="0.2">
      <c r="B111" s="802" t="s">
        <v>1038</v>
      </c>
      <c r="C111" s="801" t="s">
        <v>1022</v>
      </c>
      <c r="D111" s="797" t="str">
        <f t="shared" si="9"/>
        <v>10.10 - [Name of sub-vote]</v>
      </c>
      <c r="E111" s="800"/>
    </row>
    <row r="112" spans="2:5" x14ac:dyDescent="0.2">
      <c r="B112" s="804" t="s">
        <v>815</v>
      </c>
      <c r="C112" s="803" t="s">
        <v>1037</v>
      </c>
      <c r="E112" s="800"/>
    </row>
    <row r="113" spans="2:5" x14ac:dyDescent="0.2">
      <c r="B113" s="802">
        <v>11.1</v>
      </c>
      <c r="C113" s="801" t="s">
        <v>1022</v>
      </c>
      <c r="D113" s="797" t="str">
        <f t="shared" ref="D113:D122" si="10">CONCATENATE(B113, " - ", C113)</f>
        <v>11,1 - [Name of sub-vote]</v>
      </c>
      <c r="E113" s="800" t="s">
        <v>1036</v>
      </c>
    </row>
    <row r="114" spans="2:5" x14ac:dyDescent="0.2">
      <c r="B114" s="802">
        <v>11.2</v>
      </c>
      <c r="C114" s="801" t="s">
        <v>1022</v>
      </c>
      <c r="D114" s="797" t="str">
        <f t="shared" si="10"/>
        <v>11,2 - [Name of sub-vote]</v>
      </c>
      <c r="E114" s="800"/>
    </row>
    <row r="115" spans="2:5" x14ac:dyDescent="0.2">
      <c r="B115" s="802">
        <v>11.3</v>
      </c>
      <c r="C115" s="801" t="s">
        <v>1022</v>
      </c>
      <c r="D115" s="797" t="str">
        <f t="shared" si="10"/>
        <v>11,3 - [Name of sub-vote]</v>
      </c>
      <c r="E115" s="800"/>
    </row>
    <row r="116" spans="2:5" x14ac:dyDescent="0.2">
      <c r="B116" s="802">
        <v>11.4</v>
      </c>
      <c r="C116" s="801" t="s">
        <v>1022</v>
      </c>
      <c r="D116" s="797" t="str">
        <f t="shared" si="10"/>
        <v>11,4 - [Name of sub-vote]</v>
      </c>
      <c r="E116" s="800"/>
    </row>
    <row r="117" spans="2:5" x14ac:dyDescent="0.2">
      <c r="B117" s="802">
        <v>11.5</v>
      </c>
      <c r="C117" s="801" t="s">
        <v>1022</v>
      </c>
      <c r="D117" s="797" t="str">
        <f t="shared" si="10"/>
        <v>11,5 - [Name of sub-vote]</v>
      </c>
      <c r="E117" s="800"/>
    </row>
    <row r="118" spans="2:5" x14ac:dyDescent="0.2">
      <c r="B118" s="802">
        <v>11.6</v>
      </c>
      <c r="C118" s="801" t="s">
        <v>1022</v>
      </c>
      <c r="D118" s="797" t="str">
        <f t="shared" si="10"/>
        <v>11,6 - [Name of sub-vote]</v>
      </c>
      <c r="E118" s="800"/>
    </row>
    <row r="119" spans="2:5" x14ac:dyDescent="0.2">
      <c r="B119" s="802">
        <v>11.7</v>
      </c>
      <c r="C119" s="801" t="s">
        <v>1022</v>
      </c>
      <c r="D119" s="797" t="str">
        <f t="shared" si="10"/>
        <v>11,7 - [Name of sub-vote]</v>
      </c>
      <c r="E119" s="800"/>
    </row>
    <row r="120" spans="2:5" x14ac:dyDescent="0.2">
      <c r="B120" s="802">
        <v>11.8</v>
      </c>
      <c r="C120" s="801" t="s">
        <v>1022</v>
      </c>
      <c r="D120" s="797" t="str">
        <f t="shared" si="10"/>
        <v>11,8 - [Name of sub-vote]</v>
      </c>
      <c r="E120" s="800"/>
    </row>
    <row r="121" spans="2:5" x14ac:dyDescent="0.2">
      <c r="B121" s="802">
        <v>11.9</v>
      </c>
      <c r="C121" s="801" t="s">
        <v>1022</v>
      </c>
      <c r="D121" s="797" t="str">
        <f t="shared" si="10"/>
        <v>11,9 - [Name of sub-vote]</v>
      </c>
      <c r="E121" s="800"/>
    </row>
    <row r="122" spans="2:5" x14ac:dyDescent="0.2">
      <c r="B122" s="802" t="s">
        <v>1035</v>
      </c>
      <c r="C122" s="801" t="s">
        <v>1022</v>
      </c>
      <c r="D122" s="797" t="str">
        <f t="shared" si="10"/>
        <v>11.10 - [Name of sub-vote]</v>
      </c>
      <c r="E122" s="800"/>
    </row>
    <row r="123" spans="2:5" x14ac:dyDescent="0.2">
      <c r="B123" s="804" t="s">
        <v>814</v>
      </c>
      <c r="C123" s="803" t="s">
        <v>1034</v>
      </c>
      <c r="E123" s="800"/>
    </row>
    <row r="124" spans="2:5" x14ac:dyDescent="0.2">
      <c r="B124" s="802">
        <v>12.1</v>
      </c>
      <c r="C124" s="801" t="s">
        <v>1022</v>
      </c>
      <c r="D124" s="797" t="str">
        <f t="shared" ref="D124:D133" si="11">CONCATENATE(B124, " - ", C124)</f>
        <v>12,1 - [Name of sub-vote]</v>
      </c>
      <c r="E124" s="800" t="s">
        <v>1033</v>
      </c>
    </row>
    <row r="125" spans="2:5" x14ac:dyDescent="0.2">
      <c r="B125" s="802">
        <v>12.2</v>
      </c>
      <c r="C125" s="801" t="s">
        <v>1022</v>
      </c>
      <c r="D125" s="797" t="str">
        <f t="shared" si="11"/>
        <v>12,2 - [Name of sub-vote]</v>
      </c>
      <c r="E125" s="800"/>
    </row>
    <row r="126" spans="2:5" x14ac:dyDescent="0.2">
      <c r="B126" s="802">
        <v>12.3</v>
      </c>
      <c r="C126" s="801" t="s">
        <v>1022</v>
      </c>
      <c r="D126" s="797" t="str">
        <f t="shared" si="11"/>
        <v>12,3 - [Name of sub-vote]</v>
      </c>
      <c r="E126" s="800"/>
    </row>
    <row r="127" spans="2:5" x14ac:dyDescent="0.2">
      <c r="B127" s="802">
        <v>12.4</v>
      </c>
      <c r="C127" s="801" t="s">
        <v>1022</v>
      </c>
      <c r="D127" s="797" t="str">
        <f t="shared" si="11"/>
        <v>12,4 - [Name of sub-vote]</v>
      </c>
      <c r="E127" s="800"/>
    </row>
    <row r="128" spans="2:5" x14ac:dyDescent="0.2">
      <c r="B128" s="802">
        <v>12.5</v>
      </c>
      <c r="C128" s="801" t="s">
        <v>1022</v>
      </c>
      <c r="D128" s="797" t="str">
        <f t="shared" si="11"/>
        <v>12,5 - [Name of sub-vote]</v>
      </c>
      <c r="E128" s="800"/>
    </row>
    <row r="129" spans="2:5" x14ac:dyDescent="0.2">
      <c r="B129" s="802">
        <v>12.6</v>
      </c>
      <c r="C129" s="801" t="s">
        <v>1022</v>
      </c>
      <c r="D129" s="797" t="str">
        <f t="shared" si="11"/>
        <v>12,6 - [Name of sub-vote]</v>
      </c>
      <c r="E129" s="800"/>
    </row>
    <row r="130" spans="2:5" x14ac:dyDescent="0.2">
      <c r="B130" s="802">
        <v>12.7</v>
      </c>
      <c r="C130" s="801" t="s">
        <v>1022</v>
      </c>
      <c r="D130" s="797" t="str">
        <f t="shared" si="11"/>
        <v>12,7 - [Name of sub-vote]</v>
      </c>
      <c r="E130" s="800"/>
    </row>
    <row r="131" spans="2:5" x14ac:dyDescent="0.2">
      <c r="B131" s="802">
        <v>12.8</v>
      </c>
      <c r="C131" s="801" t="s">
        <v>1022</v>
      </c>
      <c r="D131" s="797" t="str">
        <f t="shared" si="11"/>
        <v>12,8 - [Name of sub-vote]</v>
      </c>
      <c r="E131" s="800"/>
    </row>
    <row r="132" spans="2:5" x14ac:dyDescent="0.2">
      <c r="B132" s="802">
        <v>12.9</v>
      </c>
      <c r="C132" s="801" t="s">
        <v>1022</v>
      </c>
      <c r="D132" s="797" t="str">
        <f t="shared" si="11"/>
        <v>12,9 - [Name of sub-vote]</v>
      </c>
      <c r="E132" s="800"/>
    </row>
    <row r="133" spans="2:5" x14ac:dyDescent="0.2">
      <c r="B133" s="802" t="s">
        <v>1032</v>
      </c>
      <c r="C133" s="801" t="s">
        <v>1022</v>
      </c>
      <c r="D133" s="797" t="str">
        <f t="shared" si="11"/>
        <v>12.10 - [Name of sub-vote]</v>
      </c>
      <c r="E133" s="800"/>
    </row>
    <row r="134" spans="2:5" x14ac:dyDescent="0.2">
      <c r="B134" s="804" t="s">
        <v>813</v>
      </c>
      <c r="C134" s="803" t="s">
        <v>1031</v>
      </c>
      <c r="E134" s="800"/>
    </row>
    <row r="135" spans="2:5" x14ac:dyDescent="0.2">
      <c r="B135" s="802">
        <v>13.1</v>
      </c>
      <c r="C135" s="801" t="s">
        <v>1022</v>
      </c>
      <c r="D135" s="797" t="str">
        <f t="shared" ref="D135:D144" si="12">CONCATENATE(B135, " - ", C135)</f>
        <v>13,1 - [Name of sub-vote]</v>
      </c>
      <c r="E135" s="800" t="s">
        <v>1030</v>
      </c>
    </row>
    <row r="136" spans="2:5" x14ac:dyDescent="0.2">
      <c r="B136" s="802">
        <v>13.2</v>
      </c>
      <c r="C136" s="801" t="s">
        <v>1022</v>
      </c>
      <c r="D136" s="797" t="str">
        <f t="shared" si="12"/>
        <v>13,2 - [Name of sub-vote]</v>
      </c>
      <c r="E136" s="800"/>
    </row>
    <row r="137" spans="2:5" x14ac:dyDescent="0.2">
      <c r="B137" s="802">
        <v>13.3</v>
      </c>
      <c r="C137" s="801" t="s">
        <v>1022</v>
      </c>
      <c r="D137" s="797" t="str">
        <f t="shared" si="12"/>
        <v>13,3 - [Name of sub-vote]</v>
      </c>
      <c r="E137" s="800"/>
    </row>
    <row r="138" spans="2:5" x14ac:dyDescent="0.2">
      <c r="B138" s="802">
        <v>13.4</v>
      </c>
      <c r="C138" s="801" t="s">
        <v>1022</v>
      </c>
      <c r="D138" s="797" t="str">
        <f t="shared" si="12"/>
        <v>13,4 - [Name of sub-vote]</v>
      </c>
      <c r="E138" s="800"/>
    </row>
    <row r="139" spans="2:5" x14ac:dyDescent="0.2">
      <c r="B139" s="802">
        <v>13.5</v>
      </c>
      <c r="C139" s="801" t="s">
        <v>1022</v>
      </c>
      <c r="D139" s="797" t="str">
        <f t="shared" si="12"/>
        <v>13,5 - [Name of sub-vote]</v>
      </c>
      <c r="E139" s="800"/>
    </row>
    <row r="140" spans="2:5" x14ac:dyDescent="0.2">
      <c r="B140" s="802">
        <v>13.6</v>
      </c>
      <c r="C140" s="801" t="s">
        <v>1022</v>
      </c>
      <c r="D140" s="797" t="str">
        <f t="shared" si="12"/>
        <v>13,6 - [Name of sub-vote]</v>
      </c>
      <c r="E140" s="800"/>
    </row>
    <row r="141" spans="2:5" x14ac:dyDescent="0.2">
      <c r="B141" s="802">
        <v>13.7</v>
      </c>
      <c r="C141" s="801" t="s">
        <v>1022</v>
      </c>
      <c r="D141" s="797" t="str">
        <f t="shared" si="12"/>
        <v>13,7 - [Name of sub-vote]</v>
      </c>
      <c r="E141" s="800"/>
    </row>
    <row r="142" spans="2:5" x14ac:dyDescent="0.2">
      <c r="B142" s="802">
        <v>13.8</v>
      </c>
      <c r="C142" s="801" t="s">
        <v>1022</v>
      </c>
      <c r="D142" s="797" t="str">
        <f t="shared" si="12"/>
        <v>13,8 - [Name of sub-vote]</v>
      </c>
      <c r="E142" s="800"/>
    </row>
    <row r="143" spans="2:5" x14ac:dyDescent="0.2">
      <c r="B143" s="802">
        <v>13.9</v>
      </c>
      <c r="C143" s="801" t="s">
        <v>1022</v>
      </c>
      <c r="D143" s="797" t="str">
        <f t="shared" si="12"/>
        <v>13,9 - [Name of sub-vote]</v>
      </c>
      <c r="E143" s="800"/>
    </row>
    <row r="144" spans="2:5" x14ac:dyDescent="0.2">
      <c r="B144" s="802" t="s">
        <v>1029</v>
      </c>
      <c r="C144" s="801" t="s">
        <v>1022</v>
      </c>
      <c r="D144" s="797" t="str">
        <f t="shared" si="12"/>
        <v>13.10 - [Name of sub-vote]</v>
      </c>
      <c r="E144" s="800"/>
    </row>
    <row r="145" spans="2:5" x14ac:dyDescent="0.2">
      <c r="B145" s="804" t="s">
        <v>812</v>
      </c>
      <c r="C145" s="803" t="s">
        <v>1028</v>
      </c>
      <c r="E145" s="800"/>
    </row>
    <row r="146" spans="2:5" x14ac:dyDescent="0.2">
      <c r="B146" s="802">
        <v>14.1</v>
      </c>
      <c r="C146" s="801" t="s">
        <v>1022</v>
      </c>
      <c r="D146" s="797" t="str">
        <f t="shared" ref="D146:D155" si="13">CONCATENATE(B146, " - ", C146)</f>
        <v>14,1 - [Name of sub-vote]</v>
      </c>
      <c r="E146" s="800" t="s">
        <v>1027</v>
      </c>
    </row>
    <row r="147" spans="2:5" x14ac:dyDescent="0.2">
      <c r="B147" s="802">
        <v>14.2</v>
      </c>
      <c r="C147" s="801" t="s">
        <v>1022</v>
      </c>
      <c r="D147" s="797" t="str">
        <f t="shared" si="13"/>
        <v>14,2 - [Name of sub-vote]</v>
      </c>
      <c r="E147" s="800"/>
    </row>
    <row r="148" spans="2:5" x14ac:dyDescent="0.2">
      <c r="B148" s="802">
        <v>14.3</v>
      </c>
      <c r="C148" s="801" t="s">
        <v>1022</v>
      </c>
      <c r="D148" s="797" t="str">
        <f t="shared" si="13"/>
        <v>14,3 - [Name of sub-vote]</v>
      </c>
      <c r="E148" s="800"/>
    </row>
    <row r="149" spans="2:5" x14ac:dyDescent="0.2">
      <c r="B149" s="802">
        <v>14.4</v>
      </c>
      <c r="C149" s="801" t="s">
        <v>1022</v>
      </c>
      <c r="D149" s="797" t="str">
        <f t="shared" si="13"/>
        <v>14,4 - [Name of sub-vote]</v>
      </c>
      <c r="E149" s="800"/>
    </row>
    <row r="150" spans="2:5" x14ac:dyDescent="0.2">
      <c r="B150" s="802">
        <v>14.5</v>
      </c>
      <c r="C150" s="801" t="s">
        <v>1022</v>
      </c>
      <c r="D150" s="797" t="str">
        <f t="shared" si="13"/>
        <v>14,5 - [Name of sub-vote]</v>
      </c>
      <c r="E150" s="800"/>
    </row>
    <row r="151" spans="2:5" x14ac:dyDescent="0.2">
      <c r="B151" s="802">
        <v>14.6</v>
      </c>
      <c r="C151" s="801" t="s">
        <v>1022</v>
      </c>
      <c r="D151" s="797" t="str">
        <f t="shared" si="13"/>
        <v>14,6 - [Name of sub-vote]</v>
      </c>
      <c r="E151" s="800"/>
    </row>
    <row r="152" spans="2:5" x14ac:dyDescent="0.2">
      <c r="B152" s="802">
        <v>14.7</v>
      </c>
      <c r="C152" s="801" t="s">
        <v>1022</v>
      </c>
      <c r="D152" s="797" t="str">
        <f t="shared" si="13"/>
        <v>14,7 - [Name of sub-vote]</v>
      </c>
      <c r="E152" s="800"/>
    </row>
    <row r="153" spans="2:5" x14ac:dyDescent="0.2">
      <c r="B153" s="802">
        <v>14.8</v>
      </c>
      <c r="C153" s="801" t="s">
        <v>1022</v>
      </c>
      <c r="D153" s="797" t="str">
        <f t="shared" si="13"/>
        <v>14,8 - [Name of sub-vote]</v>
      </c>
      <c r="E153" s="800"/>
    </row>
    <row r="154" spans="2:5" x14ac:dyDescent="0.2">
      <c r="B154" s="802">
        <v>14.9</v>
      </c>
      <c r="C154" s="801" t="s">
        <v>1022</v>
      </c>
      <c r="D154" s="797" t="str">
        <f t="shared" si="13"/>
        <v>14,9 - [Name of sub-vote]</v>
      </c>
      <c r="E154" s="800"/>
    </row>
    <row r="155" spans="2:5" x14ac:dyDescent="0.2">
      <c r="B155" s="802" t="s">
        <v>1026</v>
      </c>
      <c r="C155" s="801" t="s">
        <v>1022</v>
      </c>
      <c r="D155" s="797" t="str">
        <f t="shared" si="13"/>
        <v>14.10 - [Name of sub-vote]</v>
      </c>
      <c r="E155" s="800"/>
    </row>
    <row r="156" spans="2:5" x14ac:dyDescent="0.2">
      <c r="B156" s="804" t="s">
        <v>811</v>
      </c>
      <c r="C156" s="803" t="s">
        <v>1025</v>
      </c>
      <c r="E156" s="800"/>
    </row>
    <row r="157" spans="2:5" x14ac:dyDescent="0.2">
      <c r="B157" s="802">
        <v>15.1</v>
      </c>
      <c r="C157" s="801" t="s">
        <v>1022</v>
      </c>
      <c r="D157" s="797" t="str">
        <f t="shared" ref="D157:D166" si="14">CONCATENATE(B157, " - ", C157)</f>
        <v>15,1 - [Name of sub-vote]</v>
      </c>
      <c r="E157" s="800" t="s">
        <v>1024</v>
      </c>
    </row>
    <row r="158" spans="2:5" x14ac:dyDescent="0.2">
      <c r="B158" s="802">
        <v>15.2</v>
      </c>
      <c r="C158" s="801" t="s">
        <v>1022</v>
      </c>
      <c r="D158" s="797" t="str">
        <f t="shared" si="14"/>
        <v>15,2 - [Name of sub-vote]</v>
      </c>
      <c r="E158" s="800"/>
    </row>
    <row r="159" spans="2:5" x14ac:dyDescent="0.2">
      <c r="B159" s="802">
        <v>15.3</v>
      </c>
      <c r="C159" s="801" t="s">
        <v>1022</v>
      </c>
      <c r="D159" s="797" t="str">
        <f t="shared" si="14"/>
        <v>15,3 - [Name of sub-vote]</v>
      </c>
      <c r="E159" s="800"/>
    </row>
    <row r="160" spans="2:5" x14ac:dyDescent="0.2">
      <c r="B160" s="802">
        <v>15.4</v>
      </c>
      <c r="C160" s="801" t="s">
        <v>1022</v>
      </c>
      <c r="D160" s="797" t="str">
        <f t="shared" si="14"/>
        <v>15,4 - [Name of sub-vote]</v>
      </c>
      <c r="E160" s="800"/>
    </row>
    <row r="161" spans="2:5" x14ac:dyDescent="0.2">
      <c r="B161" s="802">
        <v>15.5</v>
      </c>
      <c r="C161" s="801" t="s">
        <v>1022</v>
      </c>
      <c r="D161" s="797" t="str">
        <f t="shared" si="14"/>
        <v>15,5 - [Name of sub-vote]</v>
      </c>
      <c r="E161" s="800"/>
    </row>
    <row r="162" spans="2:5" x14ac:dyDescent="0.2">
      <c r="B162" s="802">
        <v>15.6</v>
      </c>
      <c r="C162" s="801" t="s">
        <v>1022</v>
      </c>
      <c r="D162" s="797" t="str">
        <f t="shared" si="14"/>
        <v>15,6 - [Name of sub-vote]</v>
      </c>
      <c r="E162" s="800"/>
    </row>
    <row r="163" spans="2:5" x14ac:dyDescent="0.2">
      <c r="B163" s="802">
        <v>15.7</v>
      </c>
      <c r="C163" s="801" t="s">
        <v>1022</v>
      </c>
      <c r="D163" s="797" t="str">
        <f t="shared" si="14"/>
        <v>15,7 - [Name of sub-vote]</v>
      </c>
      <c r="E163" s="800"/>
    </row>
    <row r="164" spans="2:5" x14ac:dyDescent="0.2">
      <c r="B164" s="802">
        <v>15.8</v>
      </c>
      <c r="C164" s="801" t="s">
        <v>1022</v>
      </c>
      <c r="D164" s="797" t="str">
        <f t="shared" si="14"/>
        <v>15,8 - [Name of sub-vote]</v>
      </c>
      <c r="E164" s="800"/>
    </row>
    <row r="165" spans="2:5" x14ac:dyDescent="0.2">
      <c r="B165" s="802">
        <v>15.9</v>
      </c>
      <c r="C165" s="801" t="s">
        <v>1022</v>
      </c>
      <c r="D165" s="797" t="str">
        <f t="shared" si="14"/>
        <v>15,9 - [Name of sub-vote]</v>
      </c>
      <c r="E165" s="800"/>
    </row>
    <row r="166" spans="2:5" x14ac:dyDescent="0.2">
      <c r="B166" s="802" t="s">
        <v>1023</v>
      </c>
      <c r="C166" s="801" t="s">
        <v>1022</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KZN225 Msunduzi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KZN225 Msunduzi</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KZN KWAZULU-NATAL</v>
      </c>
      <c r="C8" s="1007"/>
      <c r="D8" s="1007"/>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c r="C10" s="846"/>
      <c r="D10" s="847"/>
      <c r="F10" s="824"/>
      <c r="G10" s="823"/>
      <c r="H10" s="824"/>
      <c r="I10" s="824"/>
      <c r="J10" s="823"/>
      <c r="K10" s="825"/>
      <c r="L10" s="825"/>
      <c r="M10" s="825"/>
      <c r="N10" s="825"/>
      <c r="O10" s="825"/>
      <c r="P10" s="826"/>
      <c r="Q10" s="827"/>
    </row>
    <row r="11" spans="1:17" ht="13.5" customHeight="1" x14ac:dyDescent="0.2">
      <c r="A11" s="848"/>
      <c r="B11" s="849"/>
      <c r="C11" s="1008"/>
      <c r="D11" s="1009"/>
      <c r="F11" s="824"/>
      <c r="G11" s="823"/>
      <c r="H11" s="824"/>
      <c r="I11" s="824"/>
      <c r="J11" s="823"/>
      <c r="K11" s="825"/>
      <c r="L11" s="825"/>
      <c r="M11" s="825"/>
      <c r="N11" s="825"/>
      <c r="O11" s="825"/>
      <c r="P11" s="826"/>
      <c r="Q11" s="830"/>
    </row>
    <row r="12" spans="1:17" ht="13.5" customHeight="1" x14ac:dyDescent="0.2">
      <c r="A12" s="844" t="s">
        <v>350</v>
      </c>
      <c r="B12" s="850"/>
      <c r="C12" s="851"/>
      <c r="D12" s="851"/>
      <c r="F12" s="824"/>
      <c r="G12" s="824"/>
      <c r="H12" s="824"/>
      <c r="I12" s="824"/>
      <c r="J12" s="823"/>
      <c r="K12" s="825"/>
      <c r="L12" s="825"/>
      <c r="M12" s="825"/>
      <c r="N12" s="825"/>
      <c r="O12" s="825"/>
      <c r="P12" s="826"/>
      <c r="Q12" s="827"/>
    </row>
    <row r="13" spans="1:17" ht="13.5" customHeight="1" x14ac:dyDescent="0.2">
      <c r="A13" s="852"/>
      <c r="B13" s="853"/>
      <c r="C13" s="1010"/>
      <c r="D13" s="1010"/>
      <c r="F13" s="824"/>
      <c r="G13" s="824"/>
      <c r="H13" s="824"/>
      <c r="I13" s="854"/>
      <c r="J13" s="824"/>
      <c r="K13" s="825"/>
      <c r="L13" s="825"/>
      <c r="M13" s="825"/>
      <c r="N13" s="825"/>
      <c r="O13" s="825"/>
      <c r="P13" s="826"/>
    </row>
    <row r="14" spans="1:17" ht="13.5" customHeight="1" thickBot="1" x14ac:dyDescent="0.25">
      <c r="A14" s="1011" t="s">
        <v>351</v>
      </c>
      <c r="B14" s="1012"/>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c r="C16" s="813"/>
      <c r="D16" s="813"/>
      <c r="E16" s="835"/>
      <c r="F16" s="855"/>
      <c r="G16" s="854"/>
      <c r="H16" s="855"/>
      <c r="I16" s="855"/>
      <c r="J16" s="824"/>
      <c r="K16" s="825"/>
      <c r="L16" s="825"/>
      <c r="M16" s="825"/>
      <c r="N16" s="825"/>
      <c r="O16" s="825"/>
      <c r="P16" s="826"/>
      <c r="Q16" s="814"/>
    </row>
    <row r="17" spans="1:17" ht="13.5" customHeight="1" x14ac:dyDescent="0.2">
      <c r="A17" s="858" t="s">
        <v>354</v>
      </c>
      <c r="B17" s="859"/>
      <c r="F17" s="855"/>
      <c r="G17" s="855"/>
      <c r="H17" s="855"/>
      <c r="I17" s="855"/>
      <c r="J17" s="854"/>
      <c r="K17" s="825"/>
      <c r="L17" s="825"/>
      <c r="M17" s="825"/>
      <c r="N17" s="825"/>
      <c r="O17" s="825"/>
      <c r="P17" s="826"/>
    </row>
    <row r="18" spans="1:17" ht="13.5" customHeight="1" x14ac:dyDescent="0.2">
      <c r="A18" s="860" t="s">
        <v>355</v>
      </c>
      <c r="B18" s="861"/>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c r="F21" s="855"/>
      <c r="G21" s="855"/>
      <c r="H21" s="855"/>
      <c r="I21" s="855"/>
      <c r="J21" s="855"/>
      <c r="K21" s="825"/>
      <c r="L21" s="825"/>
      <c r="M21" s="825"/>
      <c r="N21" s="825"/>
      <c r="O21" s="825"/>
      <c r="P21" s="826"/>
    </row>
    <row r="22" spans="1:17" ht="13.5" customHeight="1" x14ac:dyDescent="0.2">
      <c r="A22" s="858" t="s">
        <v>358</v>
      </c>
      <c r="B22" s="859"/>
      <c r="F22" s="855"/>
      <c r="G22" s="855"/>
      <c r="H22" s="855"/>
      <c r="I22" s="855"/>
      <c r="J22" s="855"/>
      <c r="K22" s="825"/>
      <c r="L22" s="825"/>
      <c r="M22" s="825"/>
      <c r="N22" s="825"/>
      <c r="O22" s="825"/>
      <c r="P22" s="826"/>
    </row>
    <row r="23" spans="1:17" ht="13.5" customHeight="1" x14ac:dyDescent="0.2">
      <c r="A23" s="858" t="s">
        <v>354</v>
      </c>
      <c r="B23" s="859"/>
      <c r="F23" s="855"/>
      <c r="G23" s="855"/>
      <c r="H23" s="855"/>
      <c r="I23" s="855"/>
      <c r="J23" s="855"/>
      <c r="K23" s="825"/>
      <c r="L23" s="825"/>
      <c r="M23" s="825"/>
      <c r="N23" s="825"/>
      <c r="O23" s="825"/>
      <c r="P23" s="826"/>
    </row>
    <row r="24" spans="1:17" ht="13.5" customHeight="1" x14ac:dyDescent="0.2">
      <c r="A24" s="860" t="s">
        <v>355</v>
      </c>
      <c r="B24" s="861"/>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c r="F27" s="855"/>
      <c r="G27" s="855"/>
      <c r="H27" s="855"/>
      <c r="I27" s="855"/>
      <c r="J27" s="855"/>
      <c r="K27" s="825"/>
      <c r="L27" s="825"/>
      <c r="M27" s="825"/>
      <c r="N27" s="825"/>
      <c r="O27" s="825"/>
      <c r="P27" s="826"/>
    </row>
    <row r="28" spans="1:17" ht="13.5" customHeight="1" x14ac:dyDescent="0.2">
      <c r="A28" s="860" t="s">
        <v>361</v>
      </c>
      <c r="B28" s="868"/>
      <c r="J28" s="855"/>
      <c r="K28" s="855"/>
      <c r="L28" s="855"/>
      <c r="M28" s="855"/>
      <c r="N28" s="855"/>
      <c r="O28" s="855"/>
      <c r="P28" s="826"/>
    </row>
    <row r="29" spans="1:17" ht="13.5" customHeight="1" x14ac:dyDescent="0.2">
      <c r="A29" s="862"/>
      <c r="B29" s="869"/>
      <c r="P29" s="826"/>
    </row>
    <row r="30" spans="1:17" ht="13.5" customHeight="1" thickBot="1" x14ac:dyDescent="0.25">
      <c r="A30" s="1013" t="s">
        <v>362</v>
      </c>
      <c r="B30" s="1014"/>
      <c r="C30" s="1005"/>
      <c r="D30" s="1015"/>
      <c r="P30" s="826"/>
    </row>
    <row r="31" spans="1:17" ht="13.5" customHeight="1" thickTop="1" x14ac:dyDescent="0.2">
      <c r="A31" s="864" t="s">
        <v>363</v>
      </c>
      <c r="B31" s="865"/>
      <c r="C31" s="995" t="s">
        <v>364</v>
      </c>
      <c r="D31" s="1001"/>
      <c r="P31" s="826"/>
    </row>
    <row r="32" spans="1:17" s="922" customFormat="1" ht="13.5" customHeight="1" x14ac:dyDescent="0.2">
      <c r="A32" s="917" t="s">
        <v>1128</v>
      </c>
      <c r="B32" s="918"/>
      <c r="C32" s="917" t="s">
        <v>1128</v>
      </c>
      <c r="D32" s="918"/>
      <c r="E32" s="919"/>
      <c r="F32" s="920"/>
      <c r="G32" s="920"/>
      <c r="H32" s="920"/>
      <c r="I32" s="647"/>
      <c r="J32" s="647"/>
      <c r="K32" s="647"/>
      <c r="L32" s="647"/>
      <c r="M32" s="647"/>
      <c r="N32" s="647"/>
      <c r="O32" s="647"/>
      <c r="P32" s="921"/>
      <c r="Q32" s="647"/>
    </row>
    <row r="33" spans="1:17" s="922" customFormat="1" ht="13.5" customHeight="1" x14ac:dyDescent="0.2">
      <c r="A33" s="917" t="s">
        <v>1129</v>
      </c>
      <c r="B33" s="918"/>
      <c r="C33" s="917" t="s">
        <v>1129</v>
      </c>
      <c r="D33" s="918"/>
      <c r="E33" s="919"/>
      <c r="F33" s="920"/>
      <c r="G33" s="920"/>
      <c r="H33" s="920"/>
      <c r="I33" s="647"/>
      <c r="J33" s="647"/>
      <c r="K33" s="647"/>
      <c r="L33" s="647"/>
      <c r="M33" s="647"/>
      <c r="N33" s="647"/>
      <c r="O33" s="647"/>
      <c r="P33" s="921"/>
      <c r="Q33" s="647"/>
    </row>
    <row r="34" spans="1:17" ht="13.5" customHeight="1" x14ac:dyDescent="0.2">
      <c r="A34" s="858" t="s">
        <v>365</v>
      </c>
      <c r="B34" s="870"/>
      <c r="C34" s="858" t="s">
        <v>365</v>
      </c>
      <c r="D34" s="870"/>
      <c r="P34" s="826"/>
    </row>
    <row r="35" spans="1:17" ht="13.5" customHeight="1" x14ac:dyDescent="0.2">
      <c r="A35" s="858" t="s">
        <v>360</v>
      </c>
      <c r="B35" s="870"/>
      <c r="C35" s="858" t="s">
        <v>360</v>
      </c>
      <c r="D35" s="870"/>
      <c r="F35" s="823"/>
      <c r="G35" s="825"/>
      <c r="P35" s="826"/>
    </row>
    <row r="36" spans="1:17" ht="13.5" customHeight="1" x14ac:dyDescent="0.2">
      <c r="A36" s="858" t="s">
        <v>366</v>
      </c>
      <c r="B36" s="870"/>
      <c r="C36" s="858" t="s">
        <v>366</v>
      </c>
      <c r="D36" s="870"/>
      <c r="F36" s="823"/>
      <c r="G36" s="825"/>
      <c r="P36" s="826"/>
    </row>
    <row r="37" spans="1:17" ht="13.5" customHeight="1" x14ac:dyDescent="0.2">
      <c r="A37" s="858" t="s">
        <v>361</v>
      </c>
      <c r="B37" s="870"/>
      <c r="C37" s="858" t="s">
        <v>361</v>
      </c>
      <c r="D37" s="870"/>
      <c r="F37" s="824"/>
      <c r="G37" s="825"/>
      <c r="P37" s="826"/>
    </row>
    <row r="38" spans="1:17" ht="13.5" customHeight="1" x14ac:dyDescent="0.2">
      <c r="A38" s="858" t="s">
        <v>367</v>
      </c>
      <c r="B38" s="870"/>
      <c r="C38" s="858" t="s">
        <v>367</v>
      </c>
      <c r="D38" s="870"/>
      <c r="F38" s="824"/>
      <c r="G38" s="825"/>
      <c r="P38" s="826"/>
    </row>
    <row r="39" spans="1:17" ht="13.5" customHeight="1" x14ac:dyDescent="0.2">
      <c r="A39" s="858"/>
      <c r="B39" s="870"/>
      <c r="C39" s="858"/>
      <c r="D39" s="870"/>
      <c r="F39" s="824"/>
      <c r="G39" s="825"/>
      <c r="P39" s="826"/>
    </row>
    <row r="40" spans="1:17" ht="13.5" customHeight="1" x14ac:dyDescent="0.2">
      <c r="A40" s="997" t="s">
        <v>368</v>
      </c>
      <c r="B40" s="1002"/>
      <c r="C40" s="997" t="s">
        <v>369</v>
      </c>
      <c r="D40" s="1002"/>
      <c r="F40" s="824"/>
      <c r="G40" s="825"/>
      <c r="P40" s="826"/>
    </row>
    <row r="41" spans="1:17" s="922" customFormat="1" ht="13.5" customHeight="1" x14ac:dyDescent="0.2">
      <c r="A41" s="917" t="s">
        <v>1128</v>
      </c>
      <c r="B41" s="918"/>
      <c r="C41" s="917" t="s">
        <v>1128</v>
      </c>
      <c r="D41" s="918"/>
      <c r="E41" s="919"/>
      <c r="F41" s="920"/>
      <c r="G41" s="920"/>
      <c r="H41" s="920"/>
      <c r="I41" s="647"/>
      <c r="J41" s="647"/>
      <c r="K41" s="647"/>
      <c r="L41" s="647"/>
      <c r="M41" s="647"/>
      <c r="N41" s="647"/>
      <c r="O41" s="647"/>
      <c r="P41" s="921"/>
      <c r="Q41" s="647"/>
    </row>
    <row r="42" spans="1:17" s="922" customFormat="1" ht="13.5" customHeight="1" x14ac:dyDescent="0.2">
      <c r="A42" s="917" t="s">
        <v>1129</v>
      </c>
      <c r="B42" s="918"/>
      <c r="C42" s="917" t="s">
        <v>1129</v>
      </c>
      <c r="D42" s="918"/>
      <c r="E42" s="919"/>
      <c r="F42" s="920"/>
      <c r="G42" s="920"/>
      <c r="H42" s="920"/>
      <c r="I42" s="647"/>
      <c r="J42" s="647"/>
      <c r="K42" s="647"/>
      <c r="L42" s="647"/>
      <c r="M42" s="647"/>
      <c r="N42" s="647"/>
      <c r="O42" s="647"/>
      <c r="P42" s="921"/>
      <c r="Q42" s="647"/>
    </row>
    <row r="43" spans="1:17" ht="13.5" customHeight="1" x14ac:dyDescent="0.2">
      <c r="A43" s="858" t="s">
        <v>365</v>
      </c>
      <c r="B43" s="859"/>
      <c r="C43" s="858" t="s">
        <v>365</v>
      </c>
      <c r="D43" s="859"/>
      <c r="F43" s="824"/>
      <c r="G43" s="825"/>
      <c r="P43" s="826"/>
    </row>
    <row r="44" spans="1:17" ht="13.5" customHeight="1" x14ac:dyDescent="0.2">
      <c r="A44" s="858" t="s">
        <v>360</v>
      </c>
      <c r="B44" s="859"/>
      <c r="C44" s="858" t="s">
        <v>360</v>
      </c>
      <c r="D44" s="859"/>
      <c r="F44" s="854"/>
      <c r="G44" s="825"/>
      <c r="P44" s="826"/>
    </row>
    <row r="45" spans="1:17" ht="13.5" customHeight="1" x14ac:dyDescent="0.2">
      <c r="A45" s="858" t="s">
        <v>366</v>
      </c>
      <c r="B45" s="859"/>
      <c r="C45" s="858" t="s">
        <v>366</v>
      </c>
      <c r="D45" s="859"/>
      <c r="F45" s="855"/>
      <c r="G45" s="825"/>
      <c r="P45" s="826"/>
    </row>
    <row r="46" spans="1:17" ht="13.5" customHeight="1" x14ac:dyDescent="0.2">
      <c r="A46" s="858" t="s">
        <v>361</v>
      </c>
      <c r="B46" s="859"/>
      <c r="C46" s="858" t="s">
        <v>361</v>
      </c>
      <c r="D46" s="859"/>
      <c r="F46" s="855"/>
      <c r="G46" s="825"/>
      <c r="P46" s="826"/>
    </row>
    <row r="47" spans="1:17" ht="13.5" customHeight="1" x14ac:dyDescent="0.2">
      <c r="A47" s="871" t="s">
        <v>367</v>
      </c>
      <c r="B47" s="872"/>
      <c r="C47" s="871" t="s">
        <v>367</v>
      </c>
      <c r="D47" s="872"/>
      <c r="F47" s="855"/>
      <c r="G47" s="825"/>
      <c r="P47" s="826"/>
    </row>
    <row r="48" spans="1:17" ht="13.5" customHeight="1" x14ac:dyDescent="0.2">
      <c r="A48" s="862"/>
      <c r="B48" s="869"/>
      <c r="C48" s="862"/>
      <c r="D48" s="869"/>
      <c r="F48" s="855"/>
      <c r="G48" s="825"/>
      <c r="P48" s="826"/>
    </row>
    <row r="49" spans="1:17" ht="13.5" customHeight="1" x14ac:dyDescent="0.2">
      <c r="A49" s="997" t="s">
        <v>370</v>
      </c>
      <c r="B49" s="1002"/>
      <c r="C49" s="997" t="s">
        <v>371</v>
      </c>
      <c r="D49" s="1002"/>
      <c r="F49" s="855"/>
      <c r="G49" s="825"/>
      <c r="P49" s="826"/>
    </row>
    <row r="50" spans="1:17" s="922" customFormat="1" ht="13.5" customHeight="1" x14ac:dyDescent="0.2">
      <c r="A50" s="917" t="s">
        <v>1128</v>
      </c>
      <c r="B50" s="918"/>
      <c r="C50" s="917" t="s">
        <v>1128</v>
      </c>
      <c r="D50" s="918"/>
      <c r="E50" s="919"/>
      <c r="F50" s="920"/>
      <c r="G50" s="920"/>
      <c r="H50" s="920"/>
      <c r="I50" s="647"/>
      <c r="J50" s="647"/>
      <c r="K50" s="647"/>
      <c r="L50" s="647"/>
      <c r="M50" s="647"/>
      <c r="N50" s="647"/>
      <c r="O50" s="647"/>
      <c r="P50" s="921"/>
      <c r="Q50" s="647"/>
    </row>
    <row r="51" spans="1:17" s="922" customFormat="1" ht="13.5" customHeight="1" x14ac:dyDescent="0.2">
      <c r="A51" s="917" t="s">
        <v>1129</v>
      </c>
      <c r="B51" s="918"/>
      <c r="C51" s="917" t="s">
        <v>1129</v>
      </c>
      <c r="D51" s="918"/>
      <c r="E51" s="919"/>
      <c r="F51" s="920"/>
      <c r="G51" s="920"/>
      <c r="H51" s="920"/>
      <c r="I51" s="647"/>
      <c r="J51" s="647"/>
      <c r="K51" s="647"/>
      <c r="L51" s="647"/>
      <c r="M51" s="647"/>
      <c r="N51" s="647"/>
      <c r="O51" s="647"/>
      <c r="P51" s="921"/>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03" t="s">
        <v>372</v>
      </c>
      <c r="B58" s="1004"/>
      <c r="C58" s="1005"/>
      <c r="D58" s="1006"/>
      <c r="E58" s="813"/>
      <c r="F58" s="855"/>
      <c r="G58" s="825"/>
      <c r="P58" s="826"/>
    </row>
    <row r="59" spans="1:17" s="875" customFormat="1" ht="13.5" customHeight="1" thickTop="1" x14ac:dyDescent="0.2">
      <c r="A59" s="864" t="s">
        <v>373</v>
      </c>
      <c r="B59" s="865"/>
      <c r="C59" s="995" t="s">
        <v>374</v>
      </c>
      <c r="D59" s="996"/>
      <c r="E59" s="815"/>
      <c r="F59" s="873"/>
      <c r="G59" s="874"/>
      <c r="P59" s="826"/>
      <c r="Q59" s="814"/>
    </row>
    <row r="60" spans="1:17" s="922" customFormat="1" ht="13.5" customHeight="1" x14ac:dyDescent="0.2">
      <c r="A60" s="917" t="s">
        <v>1128</v>
      </c>
      <c r="B60" s="918"/>
      <c r="C60" s="917" t="s">
        <v>1128</v>
      </c>
      <c r="D60" s="918"/>
      <c r="E60" s="919"/>
      <c r="F60" s="920"/>
      <c r="G60" s="920"/>
      <c r="H60" s="920"/>
      <c r="I60" s="647"/>
      <c r="J60" s="647"/>
      <c r="K60" s="647"/>
      <c r="L60" s="647"/>
      <c r="M60" s="647"/>
      <c r="N60" s="647"/>
      <c r="O60" s="647"/>
      <c r="P60" s="921"/>
      <c r="Q60" s="647"/>
    </row>
    <row r="61" spans="1:17" s="922" customFormat="1" ht="13.5" customHeight="1" x14ac:dyDescent="0.2">
      <c r="A61" s="917" t="s">
        <v>1129</v>
      </c>
      <c r="B61" s="918"/>
      <c r="C61" s="917" t="s">
        <v>1129</v>
      </c>
      <c r="D61" s="918"/>
      <c r="E61" s="919"/>
      <c r="F61" s="920"/>
      <c r="G61" s="920"/>
      <c r="H61" s="920"/>
      <c r="I61" s="647"/>
      <c r="J61" s="647"/>
      <c r="K61" s="647"/>
      <c r="L61" s="647"/>
      <c r="M61" s="647"/>
      <c r="N61" s="647"/>
      <c r="O61" s="647"/>
      <c r="P61" s="921"/>
      <c r="Q61" s="647"/>
    </row>
    <row r="62" spans="1:17" s="875" customFormat="1" ht="13.5" customHeight="1" x14ac:dyDescent="0.2">
      <c r="A62" s="858" t="s">
        <v>365</v>
      </c>
      <c r="B62" s="859"/>
      <c r="C62" s="858" t="s">
        <v>365</v>
      </c>
      <c r="D62" s="859"/>
      <c r="E62" s="815"/>
      <c r="F62" s="873"/>
      <c r="G62" s="874"/>
      <c r="P62" s="826"/>
      <c r="Q62" s="814"/>
    </row>
    <row r="63" spans="1:17" s="814" customFormat="1" ht="13.5" customHeight="1" x14ac:dyDescent="0.2">
      <c r="A63" s="858" t="s">
        <v>360</v>
      </c>
      <c r="B63" s="859"/>
      <c r="C63" s="858" t="s">
        <v>360</v>
      </c>
      <c r="D63" s="859"/>
      <c r="E63" s="813"/>
      <c r="F63" s="855"/>
      <c r="G63" s="825"/>
      <c r="P63" s="826"/>
    </row>
    <row r="64" spans="1:17" s="814" customFormat="1" ht="13.5" customHeight="1" x14ac:dyDescent="0.2">
      <c r="A64" s="858" t="s">
        <v>366</v>
      </c>
      <c r="B64" s="859"/>
      <c r="C64" s="858" t="s">
        <v>366</v>
      </c>
      <c r="D64" s="859"/>
      <c r="E64" s="813"/>
      <c r="F64" s="855"/>
      <c r="G64" s="825"/>
      <c r="P64" s="826"/>
    </row>
    <row r="65" spans="1:17" s="814" customFormat="1" ht="13.5" customHeight="1" x14ac:dyDescent="0.2">
      <c r="A65" s="858" t="s">
        <v>361</v>
      </c>
      <c r="B65" s="859"/>
      <c r="C65" s="858" t="s">
        <v>361</v>
      </c>
      <c r="D65" s="859"/>
      <c r="E65" s="813"/>
      <c r="F65" s="855"/>
      <c r="G65" s="825"/>
      <c r="P65" s="826"/>
    </row>
    <row r="66" spans="1:17" ht="13.5" customHeight="1" x14ac:dyDescent="0.2">
      <c r="A66" s="860" t="s">
        <v>367</v>
      </c>
      <c r="B66" s="868"/>
      <c r="C66" s="860" t="s">
        <v>367</v>
      </c>
      <c r="D66" s="868"/>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997" t="s">
        <v>376</v>
      </c>
      <c r="D68" s="998"/>
      <c r="F68" s="855"/>
      <c r="G68" s="825"/>
      <c r="P68" s="826"/>
    </row>
    <row r="69" spans="1:17" s="922" customFormat="1" ht="13.5" customHeight="1" x14ac:dyDescent="0.2">
      <c r="A69" s="917" t="s">
        <v>1128</v>
      </c>
      <c r="B69" s="918"/>
      <c r="C69" s="917" t="s">
        <v>1128</v>
      </c>
      <c r="D69" s="918"/>
      <c r="E69" s="919"/>
      <c r="F69" s="920"/>
      <c r="G69" s="920"/>
      <c r="H69" s="920"/>
      <c r="I69" s="647"/>
      <c r="J69" s="647"/>
      <c r="K69" s="647"/>
      <c r="L69" s="647"/>
      <c r="M69" s="647"/>
      <c r="N69" s="647"/>
      <c r="O69" s="647"/>
      <c r="P69" s="921"/>
      <c r="Q69" s="647"/>
    </row>
    <row r="70" spans="1:17" s="922" customFormat="1" ht="13.5" customHeight="1" x14ac:dyDescent="0.2">
      <c r="A70" s="917" t="s">
        <v>1129</v>
      </c>
      <c r="B70" s="918"/>
      <c r="C70" s="917" t="s">
        <v>1129</v>
      </c>
      <c r="D70" s="918"/>
      <c r="E70" s="919"/>
      <c r="F70" s="920"/>
      <c r="G70" s="920"/>
      <c r="H70" s="920"/>
      <c r="I70" s="647"/>
      <c r="J70" s="647"/>
      <c r="K70" s="647"/>
      <c r="L70" s="647"/>
      <c r="M70" s="647"/>
      <c r="N70" s="647"/>
      <c r="O70" s="647"/>
      <c r="P70" s="921"/>
      <c r="Q70" s="647"/>
    </row>
    <row r="71" spans="1:17" s="877" customFormat="1" ht="13.5" customHeight="1" x14ac:dyDescent="0.2">
      <c r="A71" s="858" t="s">
        <v>365</v>
      </c>
      <c r="B71" s="859" t="s">
        <v>1425</v>
      </c>
      <c r="C71" s="858" t="s">
        <v>365</v>
      </c>
      <c r="D71" s="859"/>
      <c r="E71" s="815"/>
      <c r="F71" s="873"/>
      <c r="G71" s="874"/>
      <c r="H71" s="875"/>
      <c r="I71" s="875"/>
      <c r="J71" s="875"/>
      <c r="K71" s="875"/>
      <c r="L71" s="875"/>
      <c r="M71" s="875"/>
      <c r="N71" s="875"/>
      <c r="O71" s="875"/>
      <c r="P71" s="826"/>
      <c r="Q71" s="814"/>
    </row>
    <row r="72" spans="1:17" ht="13.5" customHeight="1" x14ac:dyDescent="0.2">
      <c r="A72" s="858" t="s">
        <v>360</v>
      </c>
      <c r="B72" s="859"/>
      <c r="C72" s="858" t="s">
        <v>360</v>
      </c>
      <c r="D72" s="859"/>
      <c r="F72" s="855"/>
      <c r="G72" s="825"/>
      <c r="P72" s="826"/>
    </row>
    <row r="73" spans="1:17" ht="13.5" customHeight="1" x14ac:dyDescent="0.2">
      <c r="A73" s="858" t="s">
        <v>366</v>
      </c>
      <c r="B73" s="859"/>
      <c r="C73" s="858" t="s">
        <v>366</v>
      </c>
      <c r="D73" s="859"/>
      <c r="F73" s="855"/>
      <c r="G73" s="825"/>
      <c r="P73" s="826"/>
    </row>
    <row r="74" spans="1:17" ht="13.5" customHeight="1" x14ac:dyDescent="0.2">
      <c r="A74" s="858" t="s">
        <v>361</v>
      </c>
      <c r="B74" s="859"/>
      <c r="C74" s="858" t="s">
        <v>361</v>
      </c>
      <c r="D74" s="859"/>
      <c r="F74" s="855"/>
      <c r="G74" s="825"/>
      <c r="P74" s="826"/>
    </row>
    <row r="75" spans="1:17" ht="13.5" customHeight="1" x14ac:dyDescent="0.2">
      <c r="A75" s="860" t="s">
        <v>367</v>
      </c>
      <c r="B75" s="868"/>
      <c r="C75" s="860" t="s">
        <v>367</v>
      </c>
      <c r="D75" s="868"/>
      <c r="F75" s="855"/>
      <c r="G75" s="825"/>
      <c r="P75" s="826"/>
    </row>
    <row r="76" spans="1:17" ht="13.5" customHeight="1" x14ac:dyDescent="0.2">
      <c r="A76" s="862"/>
      <c r="B76" s="869"/>
      <c r="C76" s="862"/>
      <c r="D76" s="869"/>
      <c r="F76" s="855"/>
      <c r="G76" s="825"/>
      <c r="P76" s="826"/>
    </row>
    <row r="77" spans="1:17" s="922" customFormat="1" ht="13.5" customHeight="1" x14ac:dyDescent="0.2">
      <c r="A77" s="999" t="s">
        <v>377</v>
      </c>
      <c r="B77" s="1000"/>
      <c r="C77" s="999" t="s">
        <v>377</v>
      </c>
      <c r="D77" s="1000"/>
      <c r="E77" s="919"/>
      <c r="F77" s="923"/>
      <c r="G77" s="924"/>
      <c r="H77" s="920"/>
      <c r="I77" s="647"/>
      <c r="J77" s="647"/>
      <c r="K77" s="647"/>
      <c r="L77" s="647"/>
      <c r="M77" s="647"/>
      <c r="N77" s="647"/>
      <c r="O77" s="647"/>
      <c r="P77" s="921"/>
      <c r="Q77" s="920"/>
    </row>
    <row r="78" spans="1:17" s="922" customFormat="1" ht="13.5" customHeight="1" x14ac:dyDescent="0.2">
      <c r="A78" s="917" t="s">
        <v>1128</v>
      </c>
      <c r="B78" s="918"/>
      <c r="C78" s="917" t="s">
        <v>1128</v>
      </c>
      <c r="D78" s="918"/>
      <c r="E78" s="919"/>
      <c r="F78" s="920"/>
      <c r="G78" s="920"/>
      <c r="H78" s="920"/>
      <c r="I78" s="647"/>
      <c r="J78" s="647"/>
      <c r="K78" s="647"/>
      <c r="L78" s="647"/>
      <c r="M78" s="647"/>
      <c r="N78" s="647"/>
      <c r="O78" s="647"/>
      <c r="P78" s="921"/>
      <c r="Q78" s="647"/>
    </row>
    <row r="79" spans="1:17" s="922" customFormat="1" ht="13.5" customHeight="1" x14ac:dyDescent="0.2">
      <c r="A79" s="917" t="s">
        <v>1129</v>
      </c>
      <c r="B79" s="918"/>
      <c r="C79" s="917" t="s">
        <v>1129</v>
      </c>
      <c r="D79" s="918"/>
      <c r="E79" s="919"/>
      <c r="F79" s="920"/>
      <c r="G79" s="920"/>
      <c r="H79" s="920"/>
      <c r="I79" s="647"/>
      <c r="J79" s="647"/>
      <c r="K79" s="647"/>
      <c r="L79" s="647"/>
      <c r="M79" s="647"/>
      <c r="N79" s="647"/>
      <c r="O79" s="647"/>
      <c r="P79" s="921"/>
      <c r="Q79" s="647"/>
    </row>
    <row r="80" spans="1:17" s="930" customFormat="1" ht="13.5" customHeight="1" x14ac:dyDescent="0.2">
      <c r="A80" s="917" t="s">
        <v>365</v>
      </c>
      <c r="B80" s="918"/>
      <c r="C80" s="917" t="s">
        <v>365</v>
      </c>
      <c r="D80" s="918"/>
      <c r="E80" s="925"/>
      <c r="F80" s="926"/>
      <c r="G80" s="927"/>
      <c r="H80" s="928"/>
      <c r="I80" s="929"/>
      <c r="J80" s="929"/>
      <c r="K80" s="929"/>
      <c r="L80" s="929"/>
      <c r="M80" s="929"/>
      <c r="N80" s="929"/>
      <c r="O80" s="929"/>
      <c r="P80" s="921"/>
      <c r="Q80" s="920"/>
    </row>
    <row r="81" spans="1:17" s="922" customFormat="1" ht="13.5" customHeight="1" x14ac:dyDescent="0.2">
      <c r="A81" s="917" t="s">
        <v>360</v>
      </c>
      <c r="B81" s="918"/>
      <c r="C81" s="917" t="s">
        <v>360</v>
      </c>
      <c r="D81" s="918"/>
      <c r="E81" s="919"/>
      <c r="F81" s="923"/>
      <c r="G81" s="924"/>
      <c r="H81" s="920"/>
      <c r="I81" s="647"/>
      <c r="J81" s="647"/>
      <c r="K81" s="647"/>
      <c r="L81" s="647"/>
      <c r="M81" s="647"/>
      <c r="N81" s="647"/>
      <c r="O81" s="647"/>
      <c r="P81" s="921"/>
      <c r="Q81" s="920"/>
    </row>
    <row r="82" spans="1:17" s="922" customFormat="1" ht="13.5" customHeight="1" x14ac:dyDescent="0.2">
      <c r="A82" s="917" t="s">
        <v>366</v>
      </c>
      <c r="B82" s="918"/>
      <c r="C82" s="917" t="s">
        <v>366</v>
      </c>
      <c r="D82" s="918"/>
      <c r="E82" s="919"/>
      <c r="F82" s="923"/>
      <c r="G82" s="924"/>
      <c r="H82" s="920"/>
      <c r="I82" s="647"/>
      <c r="J82" s="647"/>
      <c r="K82" s="647"/>
      <c r="L82" s="647"/>
      <c r="M82" s="647"/>
      <c r="N82" s="647"/>
      <c r="O82" s="647"/>
      <c r="P82" s="921"/>
      <c r="Q82" s="920"/>
    </row>
    <row r="83" spans="1:17" s="922" customFormat="1" ht="13.5" customHeight="1" x14ac:dyDescent="0.2">
      <c r="A83" s="917" t="s">
        <v>361</v>
      </c>
      <c r="B83" s="918"/>
      <c r="C83" s="917" t="s">
        <v>361</v>
      </c>
      <c r="D83" s="918"/>
      <c r="E83" s="919"/>
      <c r="F83" s="923"/>
      <c r="G83" s="924"/>
      <c r="H83" s="920"/>
      <c r="I83" s="647"/>
      <c r="J83" s="647"/>
      <c r="K83" s="647"/>
      <c r="L83" s="647"/>
      <c r="M83" s="647"/>
      <c r="N83" s="647"/>
      <c r="O83" s="647"/>
      <c r="P83" s="921"/>
      <c r="Q83" s="920"/>
    </row>
    <row r="84" spans="1:17" s="922" customFormat="1" ht="13.5" customHeight="1" x14ac:dyDescent="0.2">
      <c r="A84" s="917" t="s">
        <v>367</v>
      </c>
      <c r="B84" s="918"/>
      <c r="C84" s="917" t="s">
        <v>367</v>
      </c>
      <c r="D84" s="918"/>
      <c r="E84" s="919"/>
      <c r="F84" s="923"/>
      <c r="G84" s="924"/>
      <c r="H84" s="920"/>
      <c r="I84" s="647"/>
      <c r="J84" s="647"/>
      <c r="K84" s="647"/>
      <c r="L84" s="647"/>
      <c r="M84" s="647"/>
      <c r="N84" s="647"/>
      <c r="O84" s="647"/>
      <c r="P84" s="921"/>
      <c r="Q84" s="920"/>
    </row>
    <row r="85" spans="1:17" s="922" customFormat="1" ht="13.5" customHeight="1" x14ac:dyDescent="0.2">
      <c r="A85" s="999" t="s">
        <v>377</v>
      </c>
      <c r="B85" s="1000"/>
      <c r="C85" s="999" t="s">
        <v>377</v>
      </c>
      <c r="D85" s="1000"/>
      <c r="E85" s="919"/>
      <c r="F85" s="923"/>
      <c r="G85" s="924"/>
      <c r="H85" s="920"/>
      <c r="I85" s="647"/>
      <c r="J85" s="647"/>
      <c r="K85" s="647"/>
      <c r="L85" s="647"/>
      <c r="M85" s="647"/>
      <c r="N85" s="647"/>
      <c r="O85" s="647"/>
      <c r="P85" s="921"/>
      <c r="Q85" s="920"/>
    </row>
    <row r="86" spans="1:17" s="922" customFormat="1" ht="13.5" customHeight="1" x14ac:dyDescent="0.2">
      <c r="A86" s="917" t="s">
        <v>1128</v>
      </c>
      <c r="B86" s="918"/>
      <c r="C86" s="917" t="s">
        <v>1128</v>
      </c>
      <c r="D86" s="918"/>
      <c r="E86" s="919"/>
      <c r="F86" s="920"/>
      <c r="G86" s="920"/>
      <c r="H86" s="920"/>
      <c r="I86" s="647"/>
      <c r="J86" s="647"/>
      <c r="K86" s="647"/>
      <c r="L86" s="647"/>
      <c r="M86" s="647"/>
      <c r="N86" s="647"/>
      <c r="O86" s="647"/>
      <c r="P86" s="921"/>
      <c r="Q86" s="647"/>
    </row>
    <row r="87" spans="1:17" s="922" customFormat="1" ht="13.5" customHeight="1" x14ac:dyDescent="0.2">
      <c r="A87" s="917" t="s">
        <v>1129</v>
      </c>
      <c r="B87" s="918"/>
      <c r="C87" s="917" t="s">
        <v>1129</v>
      </c>
      <c r="D87" s="918"/>
      <c r="E87" s="919"/>
      <c r="F87" s="920"/>
      <c r="G87" s="920"/>
      <c r="H87" s="920"/>
      <c r="I87" s="647"/>
      <c r="J87" s="647"/>
      <c r="K87" s="647"/>
      <c r="L87" s="647"/>
      <c r="M87" s="647"/>
      <c r="N87" s="647"/>
      <c r="O87" s="647"/>
      <c r="P87" s="921"/>
      <c r="Q87" s="647"/>
    </row>
    <row r="88" spans="1:17" s="922" customFormat="1" ht="13.5" customHeight="1" x14ac:dyDescent="0.2">
      <c r="A88" s="917" t="s">
        <v>365</v>
      </c>
      <c r="B88" s="918"/>
      <c r="C88" s="917" t="s">
        <v>365</v>
      </c>
      <c r="D88" s="918"/>
      <c r="E88" s="919"/>
      <c r="F88" s="923"/>
      <c r="G88" s="924"/>
      <c r="H88" s="920"/>
      <c r="I88" s="647"/>
      <c r="J88" s="647"/>
      <c r="K88" s="647"/>
      <c r="L88" s="647"/>
      <c r="M88" s="647"/>
      <c r="N88" s="647"/>
      <c r="O88" s="647"/>
      <c r="P88" s="921"/>
      <c r="Q88" s="920"/>
    </row>
    <row r="89" spans="1:17" s="922" customFormat="1" ht="13.5" customHeight="1" x14ac:dyDescent="0.2">
      <c r="A89" s="917" t="s">
        <v>360</v>
      </c>
      <c r="B89" s="918"/>
      <c r="C89" s="917" t="s">
        <v>360</v>
      </c>
      <c r="D89" s="918"/>
      <c r="E89" s="919"/>
      <c r="F89" s="923"/>
      <c r="G89" s="924"/>
      <c r="H89" s="920"/>
      <c r="I89" s="647"/>
      <c r="J89" s="647"/>
      <c r="K89" s="647"/>
      <c r="L89" s="647"/>
      <c r="M89" s="647"/>
      <c r="N89" s="647"/>
      <c r="O89" s="647"/>
      <c r="P89" s="921"/>
      <c r="Q89" s="920"/>
    </row>
    <row r="90" spans="1:17" s="920" customFormat="1" ht="13.5" customHeight="1" x14ac:dyDescent="0.2">
      <c r="A90" s="917" t="s">
        <v>366</v>
      </c>
      <c r="B90" s="918"/>
      <c r="C90" s="917" t="s">
        <v>366</v>
      </c>
      <c r="D90" s="918"/>
      <c r="E90" s="919"/>
      <c r="F90" s="923"/>
      <c r="G90" s="924"/>
      <c r="I90" s="647"/>
      <c r="J90" s="647"/>
      <c r="K90" s="647"/>
      <c r="L90" s="647"/>
      <c r="M90" s="647"/>
      <c r="N90" s="647"/>
      <c r="O90" s="647"/>
      <c r="P90" s="921"/>
    </row>
    <row r="91" spans="1:17" s="920" customFormat="1" ht="13.5" customHeight="1" x14ac:dyDescent="0.2">
      <c r="A91" s="917" t="s">
        <v>361</v>
      </c>
      <c r="B91" s="918"/>
      <c r="C91" s="917" t="s">
        <v>361</v>
      </c>
      <c r="D91" s="918"/>
      <c r="E91" s="919"/>
      <c r="F91" s="923"/>
      <c r="G91" s="924"/>
      <c r="I91" s="647"/>
      <c r="J91" s="647"/>
      <c r="K91" s="647"/>
      <c r="L91" s="647"/>
      <c r="M91" s="647"/>
      <c r="N91" s="647"/>
      <c r="O91" s="647"/>
      <c r="P91" s="921"/>
    </row>
    <row r="92" spans="1:17" s="920" customFormat="1" ht="13.5" customHeight="1" x14ac:dyDescent="0.2">
      <c r="A92" s="917" t="s">
        <v>367</v>
      </c>
      <c r="B92" s="918"/>
      <c r="C92" s="917" t="s">
        <v>367</v>
      </c>
      <c r="D92" s="918"/>
      <c r="E92" s="919"/>
      <c r="F92" s="923"/>
      <c r="G92" s="924"/>
      <c r="I92" s="647"/>
      <c r="J92" s="647"/>
      <c r="K92" s="647"/>
      <c r="L92" s="647"/>
      <c r="M92" s="647"/>
      <c r="N92" s="647"/>
      <c r="O92" s="647"/>
      <c r="P92" s="921"/>
    </row>
    <row r="93" spans="1:17" s="920" customFormat="1" ht="13.5" customHeight="1" x14ac:dyDescent="0.2">
      <c r="A93" s="999" t="s">
        <v>377</v>
      </c>
      <c r="B93" s="1000"/>
      <c r="C93" s="999" t="s">
        <v>377</v>
      </c>
      <c r="D93" s="1000"/>
      <c r="E93" s="919"/>
      <c r="F93" s="923"/>
      <c r="G93" s="924"/>
      <c r="I93" s="647"/>
      <c r="J93" s="647"/>
      <c r="K93" s="647"/>
      <c r="L93" s="647"/>
      <c r="M93" s="647"/>
      <c r="N93" s="647"/>
      <c r="O93" s="647"/>
      <c r="P93" s="921"/>
    </row>
    <row r="94" spans="1:17" s="922" customFormat="1" ht="13.5" customHeight="1" x14ac:dyDescent="0.2">
      <c r="A94" s="917" t="s">
        <v>1128</v>
      </c>
      <c r="B94" s="918"/>
      <c r="C94" s="917" t="s">
        <v>1128</v>
      </c>
      <c r="D94" s="918"/>
      <c r="E94" s="919"/>
      <c r="F94" s="920"/>
      <c r="G94" s="920"/>
      <c r="H94" s="920"/>
      <c r="I94" s="647"/>
      <c r="J94" s="647"/>
      <c r="K94" s="647"/>
      <c r="L94" s="647"/>
      <c r="M94" s="647"/>
      <c r="N94" s="647"/>
      <c r="O94" s="647"/>
      <c r="P94" s="921"/>
      <c r="Q94" s="647"/>
    </row>
    <row r="95" spans="1:17" s="922" customFormat="1" ht="13.5" customHeight="1" x14ac:dyDescent="0.2">
      <c r="A95" s="917" t="s">
        <v>1129</v>
      </c>
      <c r="B95" s="918"/>
      <c r="C95" s="917" t="s">
        <v>1129</v>
      </c>
      <c r="D95" s="918"/>
      <c r="E95" s="919"/>
      <c r="F95" s="920"/>
      <c r="G95" s="920"/>
      <c r="H95" s="920"/>
      <c r="I95" s="647"/>
      <c r="J95" s="647"/>
      <c r="K95" s="647"/>
      <c r="L95" s="647"/>
      <c r="M95" s="647"/>
      <c r="N95" s="647"/>
      <c r="O95" s="647"/>
      <c r="P95" s="921"/>
      <c r="Q95" s="647"/>
    </row>
    <row r="96" spans="1:17" s="920" customFormat="1" ht="13.5" customHeight="1" x14ac:dyDescent="0.2">
      <c r="A96" s="917" t="s">
        <v>365</v>
      </c>
      <c r="B96" s="918"/>
      <c r="C96" s="917" t="s">
        <v>365</v>
      </c>
      <c r="D96" s="918"/>
      <c r="E96" s="919"/>
      <c r="F96" s="923"/>
      <c r="G96" s="924"/>
      <c r="I96" s="647"/>
      <c r="J96" s="647"/>
      <c r="K96" s="647"/>
      <c r="L96" s="647"/>
      <c r="M96" s="647"/>
      <c r="N96" s="647"/>
      <c r="O96" s="647"/>
      <c r="P96" s="921"/>
    </row>
    <row r="97" spans="1:17" s="920" customFormat="1" ht="13.5" customHeight="1" x14ac:dyDescent="0.2">
      <c r="A97" s="917" t="s">
        <v>360</v>
      </c>
      <c r="B97" s="918"/>
      <c r="C97" s="917" t="s">
        <v>360</v>
      </c>
      <c r="D97" s="918"/>
      <c r="E97" s="919"/>
      <c r="F97" s="923"/>
      <c r="G97" s="924"/>
      <c r="I97" s="647"/>
      <c r="J97" s="647"/>
      <c r="K97" s="647"/>
      <c r="L97" s="647"/>
      <c r="M97" s="647"/>
      <c r="N97" s="647"/>
      <c r="O97" s="647"/>
      <c r="P97" s="921"/>
    </row>
    <row r="98" spans="1:17" s="920" customFormat="1" ht="13.5" customHeight="1" x14ac:dyDescent="0.2">
      <c r="A98" s="917" t="s">
        <v>366</v>
      </c>
      <c r="B98" s="918"/>
      <c r="C98" s="917" t="s">
        <v>366</v>
      </c>
      <c r="D98" s="918"/>
      <c r="E98" s="919"/>
      <c r="F98" s="923"/>
      <c r="G98" s="924"/>
      <c r="I98" s="647"/>
      <c r="J98" s="647"/>
      <c r="K98" s="647"/>
      <c r="L98" s="647"/>
      <c r="M98" s="647"/>
      <c r="N98" s="647"/>
      <c r="O98" s="647"/>
      <c r="P98" s="921"/>
    </row>
    <row r="99" spans="1:17" s="920" customFormat="1" ht="13.5" customHeight="1" x14ac:dyDescent="0.2">
      <c r="A99" s="917" t="s">
        <v>361</v>
      </c>
      <c r="B99" s="918"/>
      <c r="C99" s="917" t="s">
        <v>361</v>
      </c>
      <c r="D99" s="918"/>
      <c r="E99" s="919"/>
      <c r="F99" s="923"/>
      <c r="G99" s="924"/>
      <c r="I99" s="647"/>
      <c r="J99" s="647"/>
      <c r="K99" s="647"/>
      <c r="L99" s="647"/>
      <c r="M99" s="647"/>
      <c r="N99" s="647"/>
      <c r="O99" s="647"/>
      <c r="P99" s="921"/>
    </row>
    <row r="100" spans="1:17" s="920" customFormat="1" ht="13.5" customHeight="1" x14ac:dyDescent="0.2">
      <c r="A100" s="917" t="s">
        <v>367</v>
      </c>
      <c r="B100" s="918"/>
      <c r="C100" s="917" t="s">
        <v>367</v>
      </c>
      <c r="D100" s="918"/>
      <c r="E100" s="919"/>
      <c r="F100" s="923"/>
      <c r="G100" s="924"/>
      <c r="I100" s="647"/>
      <c r="J100" s="647"/>
      <c r="K100" s="647"/>
      <c r="L100" s="647"/>
      <c r="M100" s="647"/>
      <c r="N100" s="647"/>
      <c r="O100" s="647"/>
      <c r="P100" s="921"/>
    </row>
    <row r="101" spans="1:17" s="920" customFormat="1" ht="12.75" customHeight="1" x14ac:dyDescent="0.2">
      <c r="A101" s="999" t="s">
        <v>377</v>
      </c>
      <c r="B101" s="1000"/>
      <c r="C101" s="999" t="s">
        <v>377</v>
      </c>
      <c r="D101" s="1000"/>
      <c r="E101" s="919"/>
      <c r="F101" s="923"/>
      <c r="G101" s="924"/>
      <c r="I101" s="647"/>
      <c r="J101" s="647"/>
      <c r="K101" s="647"/>
      <c r="L101" s="647"/>
      <c r="M101" s="647"/>
      <c r="N101" s="647"/>
      <c r="O101" s="647"/>
      <c r="P101" s="921"/>
    </row>
    <row r="102" spans="1:17" s="922" customFormat="1" ht="13.5" customHeight="1" x14ac:dyDescent="0.2">
      <c r="A102" s="917" t="s">
        <v>1128</v>
      </c>
      <c r="B102" s="918"/>
      <c r="C102" s="917" t="s">
        <v>1128</v>
      </c>
      <c r="D102" s="918"/>
      <c r="E102" s="919"/>
      <c r="F102" s="920"/>
      <c r="G102" s="920"/>
      <c r="H102" s="920"/>
      <c r="I102" s="647"/>
      <c r="J102" s="647"/>
      <c r="K102" s="647"/>
      <c r="L102" s="647"/>
      <c r="M102" s="647"/>
      <c r="N102" s="647"/>
      <c r="O102" s="647"/>
      <c r="P102" s="921"/>
      <c r="Q102" s="647"/>
    </row>
    <row r="103" spans="1:17" s="920" customFormat="1" ht="12.75" customHeight="1" x14ac:dyDescent="0.2">
      <c r="A103" s="917" t="s">
        <v>1129</v>
      </c>
      <c r="B103" s="918"/>
      <c r="C103" s="917" t="s">
        <v>1129</v>
      </c>
      <c r="D103" s="918"/>
      <c r="E103" s="919"/>
      <c r="F103" s="923"/>
      <c r="G103" s="924"/>
      <c r="I103" s="647"/>
      <c r="J103" s="647"/>
      <c r="K103" s="647"/>
      <c r="L103" s="647"/>
      <c r="M103" s="647"/>
      <c r="N103" s="647"/>
      <c r="O103" s="647"/>
      <c r="P103" s="921"/>
    </row>
    <row r="104" spans="1:17" s="920" customFormat="1" ht="12.75" customHeight="1" x14ac:dyDescent="0.2">
      <c r="A104" s="917" t="s">
        <v>365</v>
      </c>
      <c r="B104" s="918"/>
      <c r="C104" s="917" t="s">
        <v>365</v>
      </c>
      <c r="D104" s="918"/>
      <c r="E104" s="919"/>
      <c r="F104" s="923"/>
      <c r="G104" s="924"/>
      <c r="I104" s="647"/>
      <c r="J104" s="647"/>
      <c r="K104" s="647"/>
      <c r="L104" s="647"/>
      <c r="M104" s="647"/>
      <c r="N104" s="647"/>
      <c r="O104" s="647"/>
      <c r="P104" s="921"/>
    </row>
    <row r="105" spans="1:17" s="920" customFormat="1" ht="12.75" customHeight="1" x14ac:dyDescent="0.2">
      <c r="A105" s="917" t="s">
        <v>360</v>
      </c>
      <c r="B105" s="918"/>
      <c r="C105" s="917" t="s">
        <v>360</v>
      </c>
      <c r="D105" s="918"/>
      <c r="E105" s="919"/>
      <c r="F105" s="923"/>
      <c r="G105" s="924"/>
      <c r="I105" s="647"/>
      <c r="J105" s="647"/>
      <c r="K105" s="647"/>
      <c r="L105" s="647"/>
      <c r="M105" s="647"/>
      <c r="N105" s="647"/>
      <c r="O105" s="647"/>
      <c r="P105" s="921"/>
    </row>
    <row r="106" spans="1:17" s="932" customFormat="1" ht="12.75" customHeight="1" x14ac:dyDescent="0.2">
      <c r="A106" s="917" t="s">
        <v>366</v>
      </c>
      <c r="B106" s="918"/>
      <c r="C106" s="917" t="s">
        <v>366</v>
      </c>
      <c r="D106" s="918"/>
      <c r="E106" s="931"/>
      <c r="F106" s="923"/>
      <c r="G106" s="924"/>
      <c r="I106" s="647"/>
      <c r="J106" s="647"/>
      <c r="K106" s="647"/>
      <c r="L106" s="647"/>
      <c r="M106" s="647"/>
      <c r="N106" s="647"/>
      <c r="O106" s="647"/>
      <c r="P106" s="921"/>
      <c r="Q106" s="920"/>
    </row>
    <row r="107" spans="1:17" s="647" customFormat="1" ht="12.75" customHeight="1" x14ac:dyDescent="0.2">
      <c r="A107" s="917" t="s">
        <v>361</v>
      </c>
      <c r="B107" s="918"/>
      <c r="C107" s="917" t="s">
        <v>361</v>
      </c>
      <c r="D107" s="918"/>
      <c r="E107" s="933"/>
      <c r="F107" s="923"/>
      <c r="G107" s="924"/>
      <c r="P107" s="921"/>
      <c r="Q107" s="920"/>
    </row>
    <row r="108" spans="1:17" s="647" customFormat="1" ht="12.75" customHeight="1" x14ac:dyDescent="0.2">
      <c r="A108" s="917" t="s">
        <v>367</v>
      </c>
      <c r="B108" s="918"/>
      <c r="C108" s="917" t="s">
        <v>367</v>
      </c>
      <c r="D108" s="918"/>
      <c r="E108" s="933"/>
      <c r="F108" s="923"/>
      <c r="G108" s="924"/>
      <c r="P108" s="921"/>
      <c r="Q108" s="920"/>
    </row>
    <row r="109" spans="1:17" s="920" customFormat="1" ht="12.75" customHeight="1" x14ac:dyDescent="0.2">
      <c r="A109" s="999" t="s">
        <v>377</v>
      </c>
      <c r="B109" s="1000"/>
      <c r="C109" s="999" t="s">
        <v>377</v>
      </c>
      <c r="D109" s="1000"/>
      <c r="E109" s="919"/>
      <c r="I109" s="647"/>
      <c r="J109" s="647"/>
      <c r="K109" s="647"/>
      <c r="L109" s="647"/>
      <c r="M109" s="647"/>
      <c r="N109" s="647"/>
      <c r="O109" s="647"/>
      <c r="P109" s="921"/>
    </row>
    <row r="110" spans="1:17" s="922" customFormat="1" ht="13.5" customHeight="1" x14ac:dyDescent="0.2">
      <c r="A110" s="917" t="s">
        <v>1128</v>
      </c>
      <c r="B110" s="918"/>
      <c r="C110" s="917" t="s">
        <v>1128</v>
      </c>
      <c r="D110" s="918"/>
      <c r="E110" s="919"/>
      <c r="F110" s="920"/>
      <c r="G110" s="920"/>
      <c r="H110" s="920"/>
      <c r="I110" s="647"/>
      <c r="J110" s="647"/>
      <c r="K110" s="647"/>
      <c r="L110" s="647"/>
      <c r="M110" s="647"/>
      <c r="N110" s="647"/>
      <c r="O110" s="647"/>
      <c r="P110" s="921"/>
      <c r="Q110" s="647"/>
    </row>
    <row r="111" spans="1:17" s="920" customFormat="1" ht="12.75" customHeight="1" x14ac:dyDescent="0.2">
      <c r="A111" s="917" t="s">
        <v>1129</v>
      </c>
      <c r="B111" s="918"/>
      <c r="C111" s="917" t="s">
        <v>1129</v>
      </c>
      <c r="D111" s="918"/>
      <c r="E111" s="919"/>
      <c r="I111" s="647"/>
      <c r="J111" s="647"/>
      <c r="K111" s="647"/>
      <c r="L111" s="647"/>
      <c r="M111" s="647"/>
      <c r="N111" s="647"/>
      <c r="O111" s="647"/>
      <c r="P111" s="921"/>
    </row>
    <row r="112" spans="1:17" s="920" customFormat="1" ht="12.75" customHeight="1" x14ac:dyDescent="0.2">
      <c r="A112" s="917" t="s">
        <v>365</v>
      </c>
      <c r="B112" s="918"/>
      <c r="C112" s="917" t="s">
        <v>365</v>
      </c>
      <c r="D112" s="918"/>
      <c r="E112" s="919"/>
      <c r="I112" s="647"/>
      <c r="J112" s="647"/>
      <c r="K112" s="647"/>
      <c r="L112" s="647"/>
      <c r="M112" s="647"/>
      <c r="N112" s="647"/>
      <c r="O112" s="647"/>
      <c r="P112" s="921"/>
    </row>
    <row r="113" spans="1:25" s="920" customFormat="1" ht="12.75" customHeight="1" x14ac:dyDescent="0.2">
      <c r="A113" s="917" t="s">
        <v>360</v>
      </c>
      <c r="B113" s="918"/>
      <c r="C113" s="917" t="s">
        <v>360</v>
      </c>
      <c r="D113" s="918"/>
      <c r="E113" s="919"/>
      <c r="I113" s="647"/>
      <c r="J113" s="647"/>
      <c r="K113" s="647"/>
      <c r="L113" s="647"/>
      <c r="M113" s="647"/>
      <c r="N113" s="647"/>
      <c r="O113" s="647"/>
      <c r="P113" s="921"/>
    </row>
    <row r="114" spans="1:25" s="922" customFormat="1" ht="12.75" customHeight="1" x14ac:dyDescent="0.2">
      <c r="A114" s="917" t="s">
        <v>366</v>
      </c>
      <c r="B114" s="918"/>
      <c r="C114" s="917" t="s">
        <v>366</v>
      </c>
      <c r="D114" s="918"/>
      <c r="E114" s="934"/>
      <c r="F114" s="920"/>
      <c r="G114" s="920"/>
      <c r="H114" s="920"/>
      <c r="I114" s="647"/>
      <c r="J114" s="647"/>
      <c r="K114" s="647"/>
      <c r="L114" s="647"/>
      <c r="M114" s="647"/>
      <c r="N114" s="647"/>
      <c r="O114" s="647"/>
      <c r="P114" s="921"/>
      <c r="Q114" s="920"/>
      <c r="R114" s="935"/>
      <c r="S114" s="935"/>
      <c r="T114" s="935"/>
      <c r="U114" s="935"/>
      <c r="V114" s="935"/>
      <c r="W114" s="935"/>
      <c r="X114" s="935"/>
      <c r="Y114" s="935"/>
    </row>
    <row r="115" spans="1:25" s="922" customFormat="1" ht="12.75" customHeight="1" x14ac:dyDescent="0.2">
      <c r="A115" s="917" t="s">
        <v>361</v>
      </c>
      <c r="B115" s="918"/>
      <c r="C115" s="917" t="s">
        <v>361</v>
      </c>
      <c r="D115" s="918"/>
      <c r="E115" s="934"/>
      <c r="F115" s="920"/>
      <c r="G115" s="920"/>
      <c r="H115" s="920"/>
      <c r="I115" s="647"/>
      <c r="J115" s="647"/>
      <c r="K115" s="647"/>
      <c r="L115" s="647"/>
      <c r="M115" s="647"/>
      <c r="N115" s="647"/>
      <c r="O115" s="647"/>
      <c r="P115" s="921"/>
      <c r="Q115" s="920"/>
      <c r="R115" s="935"/>
      <c r="S115" s="935"/>
      <c r="T115" s="935"/>
      <c r="U115" s="935"/>
      <c r="V115" s="935"/>
      <c r="W115" s="935"/>
      <c r="X115" s="935"/>
      <c r="Y115" s="935"/>
    </row>
    <row r="116" spans="1:25" s="922" customFormat="1" ht="12.75" customHeight="1" x14ac:dyDescent="0.2">
      <c r="A116" s="917" t="s">
        <v>367</v>
      </c>
      <c r="B116" s="918"/>
      <c r="C116" s="917" t="s">
        <v>367</v>
      </c>
      <c r="D116" s="918"/>
      <c r="E116" s="934"/>
      <c r="F116" s="920"/>
      <c r="G116" s="920"/>
      <c r="H116" s="920"/>
      <c r="I116" s="647"/>
      <c r="J116" s="647"/>
      <c r="K116" s="647"/>
      <c r="L116" s="647"/>
      <c r="M116" s="647"/>
      <c r="N116" s="647"/>
      <c r="O116" s="647"/>
      <c r="P116" s="921"/>
      <c r="Q116" s="920"/>
      <c r="R116" s="935"/>
      <c r="S116" s="935"/>
      <c r="T116" s="935"/>
      <c r="U116" s="935"/>
      <c r="V116" s="935"/>
      <c r="W116" s="935"/>
      <c r="X116" s="935"/>
      <c r="Y116" s="935"/>
    </row>
    <row r="117" spans="1:25" s="922" customFormat="1" ht="12.75" customHeight="1" x14ac:dyDescent="0.2">
      <c r="A117" s="999" t="s">
        <v>377</v>
      </c>
      <c r="B117" s="1000"/>
      <c r="C117" s="999" t="s">
        <v>377</v>
      </c>
      <c r="D117" s="1000"/>
      <c r="E117" s="934"/>
      <c r="F117" s="920"/>
      <c r="G117" s="920"/>
      <c r="H117" s="920"/>
      <c r="I117" s="647"/>
      <c r="J117" s="647"/>
      <c r="K117" s="647"/>
      <c r="L117" s="647"/>
      <c r="M117" s="647"/>
      <c r="N117" s="647"/>
      <c r="O117" s="647"/>
      <c r="P117" s="921"/>
      <c r="Q117" s="920"/>
      <c r="R117" s="935"/>
      <c r="S117" s="935"/>
      <c r="T117" s="935"/>
      <c r="U117" s="935"/>
      <c r="V117" s="935"/>
      <c r="W117" s="935"/>
      <c r="X117" s="935"/>
      <c r="Y117" s="935"/>
    </row>
    <row r="118" spans="1:25" s="922" customFormat="1" ht="13.5" customHeight="1" x14ac:dyDescent="0.2">
      <c r="A118" s="917" t="s">
        <v>1128</v>
      </c>
      <c r="B118" s="918"/>
      <c r="C118" s="917" t="s">
        <v>1128</v>
      </c>
      <c r="D118" s="918"/>
      <c r="E118" s="919"/>
      <c r="F118" s="920"/>
      <c r="G118" s="920"/>
      <c r="H118" s="920"/>
      <c r="I118" s="647"/>
      <c r="J118" s="647"/>
      <c r="K118" s="647"/>
      <c r="L118" s="647"/>
      <c r="M118" s="647"/>
      <c r="N118" s="647"/>
      <c r="O118" s="647"/>
      <c r="P118" s="921"/>
      <c r="Q118" s="647"/>
    </row>
    <row r="119" spans="1:25" s="922" customFormat="1" ht="12.75" customHeight="1" x14ac:dyDescent="0.2">
      <c r="A119" s="917" t="s">
        <v>1129</v>
      </c>
      <c r="B119" s="918"/>
      <c r="C119" s="917" t="s">
        <v>1129</v>
      </c>
      <c r="D119" s="918"/>
      <c r="E119" s="934"/>
      <c r="F119" s="920"/>
      <c r="G119" s="920"/>
      <c r="H119" s="920"/>
      <c r="I119" s="647"/>
      <c r="J119" s="647"/>
      <c r="K119" s="647"/>
      <c r="L119" s="647"/>
      <c r="M119" s="647"/>
      <c r="N119" s="647"/>
      <c r="O119" s="647"/>
      <c r="P119" s="921"/>
      <c r="Q119" s="920"/>
      <c r="R119" s="935"/>
      <c r="S119" s="935"/>
      <c r="T119" s="935"/>
      <c r="U119" s="935"/>
      <c r="V119" s="935"/>
      <c r="W119" s="935"/>
      <c r="X119" s="935"/>
      <c r="Y119" s="935"/>
    </row>
    <row r="120" spans="1:25" s="922" customFormat="1" ht="12.75" customHeight="1" x14ac:dyDescent="0.2">
      <c r="A120" s="917" t="s">
        <v>365</v>
      </c>
      <c r="B120" s="918"/>
      <c r="C120" s="917" t="s">
        <v>365</v>
      </c>
      <c r="D120" s="918"/>
      <c r="E120" s="934"/>
      <c r="F120" s="920"/>
      <c r="G120" s="920"/>
      <c r="H120" s="920"/>
      <c r="I120" s="647"/>
      <c r="J120" s="647"/>
      <c r="K120" s="647"/>
      <c r="L120" s="647"/>
      <c r="M120" s="647"/>
      <c r="N120" s="647"/>
      <c r="O120" s="647"/>
      <c r="P120" s="921"/>
      <c r="Q120" s="920"/>
      <c r="R120" s="935"/>
      <c r="S120" s="935"/>
      <c r="T120" s="935"/>
      <c r="U120" s="935"/>
      <c r="V120" s="935"/>
      <c r="W120" s="935"/>
      <c r="X120" s="935"/>
      <c r="Y120" s="935"/>
    </row>
    <row r="121" spans="1:25" s="922" customFormat="1" ht="12.75" customHeight="1" x14ac:dyDescent="0.2">
      <c r="A121" s="917" t="s">
        <v>360</v>
      </c>
      <c r="B121" s="918"/>
      <c r="C121" s="917" t="s">
        <v>360</v>
      </c>
      <c r="D121" s="918"/>
      <c r="E121" s="934"/>
      <c r="F121" s="920"/>
      <c r="G121" s="920"/>
      <c r="H121" s="920"/>
      <c r="I121" s="647"/>
      <c r="J121" s="647"/>
      <c r="K121" s="647"/>
      <c r="L121" s="647"/>
      <c r="M121" s="647"/>
      <c r="N121" s="647"/>
      <c r="O121" s="647"/>
      <c r="P121" s="921"/>
      <c r="Q121" s="920"/>
      <c r="R121" s="935"/>
      <c r="S121" s="935"/>
      <c r="T121" s="935"/>
      <c r="U121" s="935"/>
      <c r="V121" s="935"/>
      <c r="W121" s="935"/>
      <c r="X121" s="935"/>
      <c r="Y121" s="935"/>
    </row>
    <row r="122" spans="1:25" s="922" customFormat="1" ht="12.75" customHeight="1" x14ac:dyDescent="0.2">
      <c r="A122" s="917" t="s">
        <v>366</v>
      </c>
      <c r="B122" s="918"/>
      <c r="C122" s="917" t="s">
        <v>366</v>
      </c>
      <c r="D122" s="918"/>
      <c r="E122" s="934"/>
      <c r="F122" s="920"/>
      <c r="G122" s="920"/>
      <c r="H122" s="920"/>
      <c r="I122" s="647"/>
      <c r="J122" s="647"/>
      <c r="K122" s="647"/>
      <c r="L122" s="647"/>
      <c r="M122" s="647"/>
      <c r="N122" s="647"/>
      <c r="O122" s="647"/>
      <c r="P122" s="921"/>
      <c r="Q122" s="920"/>
      <c r="R122" s="935"/>
      <c r="S122" s="935"/>
      <c r="T122" s="935"/>
      <c r="U122" s="935"/>
      <c r="V122" s="935"/>
      <c r="W122" s="935"/>
      <c r="X122" s="935"/>
      <c r="Y122" s="935"/>
    </row>
    <row r="123" spans="1:25" s="922" customFormat="1" ht="12.75" customHeight="1" x14ac:dyDescent="0.2">
      <c r="A123" s="917" t="s">
        <v>361</v>
      </c>
      <c r="B123" s="918"/>
      <c r="C123" s="917" t="s">
        <v>361</v>
      </c>
      <c r="D123" s="918"/>
      <c r="E123" s="934"/>
      <c r="F123" s="920"/>
      <c r="G123" s="920"/>
      <c r="H123" s="920"/>
      <c r="I123" s="647"/>
      <c r="J123" s="647"/>
      <c r="K123" s="647"/>
      <c r="L123" s="647"/>
      <c r="M123" s="647"/>
      <c r="N123" s="647"/>
      <c r="O123" s="647"/>
      <c r="P123" s="921"/>
      <c r="Q123" s="920"/>
      <c r="R123" s="935"/>
      <c r="S123" s="935"/>
      <c r="T123" s="935"/>
      <c r="U123" s="935"/>
      <c r="V123" s="935"/>
      <c r="W123" s="935"/>
      <c r="X123" s="935"/>
      <c r="Y123" s="935"/>
    </row>
    <row r="124" spans="1:25" s="922" customFormat="1" ht="12.75" customHeight="1" x14ac:dyDescent="0.2">
      <c r="A124" s="917" t="s">
        <v>367</v>
      </c>
      <c r="B124" s="918"/>
      <c r="C124" s="917" t="s">
        <v>367</v>
      </c>
      <c r="D124" s="918"/>
      <c r="E124" s="934"/>
      <c r="F124" s="920"/>
      <c r="G124" s="920"/>
      <c r="H124" s="920"/>
      <c r="I124" s="647"/>
      <c r="J124" s="647"/>
      <c r="K124" s="647"/>
      <c r="L124" s="647"/>
      <c r="M124" s="647"/>
      <c r="N124" s="647"/>
      <c r="O124" s="647"/>
      <c r="P124" s="921"/>
      <c r="Q124" s="920"/>
      <c r="R124" s="935"/>
      <c r="S124" s="935"/>
      <c r="T124" s="935"/>
      <c r="U124" s="935"/>
      <c r="V124" s="935"/>
      <c r="W124" s="935"/>
      <c r="X124" s="935"/>
      <c r="Y124" s="935"/>
    </row>
    <row r="125" spans="1:25" s="922" customFormat="1" ht="12.75" customHeight="1" x14ac:dyDescent="0.2">
      <c r="A125" s="999" t="s">
        <v>377</v>
      </c>
      <c r="B125" s="1000"/>
      <c r="C125" s="999" t="s">
        <v>377</v>
      </c>
      <c r="D125" s="1000"/>
      <c r="E125" s="934"/>
      <c r="F125" s="920"/>
      <c r="G125" s="920"/>
      <c r="H125" s="920"/>
      <c r="I125" s="647"/>
      <c r="J125" s="647"/>
      <c r="K125" s="647"/>
      <c r="L125" s="647"/>
      <c r="M125" s="647"/>
      <c r="N125" s="647"/>
      <c r="O125" s="647"/>
      <c r="P125" s="921"/>
      <c r="Q125" s="920"/>
      <c r="R125" s="935"/>
      <c r="S125" s="935"/>
      <c r="T125" s="935"/>
      <c r="U125" s="935"/>
      <c r="V125" s="935"/>
      <c r="W125" s="935"/>
      <c r="X125" s="935"/>
      <c r="Y125" s="935"/>
    </row>
    <row r="126" spans="1:25" s="922" customFormat="1" ht="13.5" customHeight="1" x14ac:dyDescent="0.2">
      <c r="A126" s="917" t="s">
        <v>1128</v>
      </c>
      <c r="B126" s="918"/>
      <c r="C126" s="917" t="s">
        <v>1128</v>
      </c>
      <c r="D126" s="918"/>
      <c r="E126" s="919"/>
      <c r="F126" s="920"/>
      <c r="G126" s="920"/>
      <c r="H126" s="920"/>
      <c r="I126" s="647"/>
      <c r="J126" s="647"/>
      <c r="K126" s="647"/>
      <c r="L126" s="647"/>
      <c r="M126" s="647"/>
      <c r="N126" s="647"/>
      <c r="O126" s="647"/>
      <c r="P126" s="921"/>
      <c r="Q126" s="647"/>
    </row>
    <row r="127" spans="1:25" s="922" customFormat="1" ht="12.75" customHeight="1" x14ac:dyDescent="0.2">
      <c r="A127" s="917" t="s">
        <v>1129</v>
      </c>
      <c r="B127" s="918"/>
      <c r="C127" s="917" t="s">
        <v>1129</v>
      </c>
      <c r="D127" s="918"/>
      <c r="E127" s="934"/>
      <c r="F127" s="920"/>
      <c r="G127" s="920"/>
      <c r="H127" s="920"/>
      <c r="I127" s="647"/>
      <c r="J127" s="647"/>
      <c r="K127" s="647"/>
      <c r="L127" s="647"/>
      <c r="M127" s="647"/>
      <c r="N127" s="647"/>
      <c r="O127" s="647"/>
      <c r="P127" s="921"/>
      <c r="Q127" s="920"/>
      <c r="R127" s="935"/>
      <c r="S127" s="935"/>
      <c r="T127" s="935"/>
      <c r="U127" s="935"/>
      <c r="V127" s="935"/>
      <c r="W127" s="935"/>
      <c r="X127" s="935"/>
      <c r="Y127" s="935"/>
    </row>
    <row r="128" spans="1:25" s="922" customFormat="1" ht="12.75" customHeight="1" x14ac:dyDescent="0.2">
      <c r="A128" s="917" t="s">
        <v>365</v>
      </c>
      <c r="B128" s="918"/>
      <c r="C128" s="917" t="s">
        <v>365</v>
      </c>
      <c r="D128" s="918"/>
      <c r="E128" s="934"/>
      <c r="F128" s="920"/>
      <c r="G128" s="920"/>
      <c r="H128" s="920"/>
      <c r="I128" s="647"/>
      <c r="J128" s="647"/>
      <c r="K128" s="647"/>
      <c r="L128" s="647"/>
      <c r="M128" s="647"/>
      <c r="N128" s="647"/>
      <c r="O128" s="647"/>
      <c r="P128" s="921"/>
      <c r="Q128" s="920"/>
      <c r="R128" s="935"/>
      <c r="S128" s="935"/>
      <c r="T128" s="935"/>
      <c r="U128" s="935"/>
      <c r="V128" s="935"/>
      <c r="W128" s="935"/>
      <c r="X128" s="935"/>
      <c r="Y128" s="935"/>
    </row>
    <row r="129" spans="1:25" s="922" customFormat="1" ht="12.75" customHeight="1" x14ac:dyDescent="0.2">
      <c r="A129" s="917" t="s">
        <v>360</v>
      </c>
      <c r="B129" s="918"/>
      <c r="C129" s="917" t="s">
        <v>360</v>
      </c>
      <c r="D129" s="918"/>
      <c r="E129" s="934"/>
      <c r="F129" s="920"/>
      <c r="G129" s="920"/>
      <c r="H129" s="920"/>
      <c r="I129" s="647"/>
      <c r="J129" s="647"/>
      <c r="K129" s="647"/>
      <c r="L129" s="647"/>
      <c r="M129" s="647"/>
      <c r="N129" s="647"/>
      <c r="O129" s="647"/>
      <c r="P129" s="921"/>
      <c r="Q129" s="920"/>
      <c r="R129" s="935"/>
      <c r="S129" s="935"/>
      <c r="T129" s="935"/>
      <c r="U129" s="935"/>
      <c r="V129" s="935"/>
      <c r="W129" s="935"/>
      <c r="X129" s="935"/>
      <c r="Y129" s="935"/>
    </row>
    <row r="130" spans="1:25" s="922" customFormat="1" ht="12.75" customHeight="1" x14ac:dyDescent="0.2">
      <c r="A130" s="917" t="s">
        <v>366</v>
      </c>
      <c r="B130" s="918"/>
      <c r="C130" s="917" t="s">
        <v>366</v>
      </c>
      <c r="D130" s="918"/>
      <c r="E130" s="934"/>
      <c r="F130" s="920"/>
      <c r="G130" s="920"/>
      <c r="H130" s="920"/>
      <c r="I130" s="647"/>
      <c r="J130" s="647"/>
      <c r="K130" s="647"/>
      <c r="L130" s="647"/>
      <c r="M130" s="647"/>
      <c r="N130" s="647"/>
      <c r="O130" s="647"/>
      <c r="P130" s="921"/>
      <c r="Q130" s="920"/>
      <c r="R130" s="935"/>
      <c r="S130" s="935"/>
      <c r="T130" s="935"/>
      <c r="U130" s="935"/>
      <c r="V130" s="935"/>
      <c r="W130" s="935"/>
      <c r="X130" s="935"/>
      <c r="Y130" s="935"/>
    </row>
    <row r="131" spans="1:25" s="922" customFormat="1" ht="12.75" customHeight="1" x14ac:dyDescent="0.2">
      <c r="A131" s="917" t="s">
        <v>361</v>
      </c>
      <c r="B131" s="918"/>
      <c r="C131" s="917" t="s">
        <v>361</v>
      </c>
      <c r="D131" s="918"/>
      <c r="E131" s="934"/>
      <c r="F131" s="920"/>
      <c r="G131" s="920"/>
      <c r="H131" s="920"/>
      <c r="I131" s="647"/>
      <c r="J131" s="647"/>
      <c r="K131" s="647"/>
      <c r="L131" s="647"/>
      <c r="M131" s="647"/>
      <c r="N131" s="647"/>
      <c r="O131" s="647"/>
      <c r="P131" s="921"/>
      <c r="Q131" s="920"/>
      <c r="R131" s="935"/>
      <c r="S131" s="935"/>
      <c r="T131" s="935"/>
      <c r="U131" s="935"/>
      <c r="V131" s="935"/>
      <c r="W131" s="935"/>
      <c r="X131" s="935"/>
      <c r="Y131" s="935"/>
    </row>
    <row r="132" spans="1:25" s="922" customFormat="1" ht="12.75" customHeight="1" x14ac:dyDescent="0.2">
      <c r="A132" s="917" t="s">
        <v>367</v>
      </c>
      <c r="B132" s="918"/>
      <c r="C132" s="917" t="s">
        <v>367</v>
      </c>
      <c r="D132" s="918"/>
      <c r="E132" s="934"/>
      <c r="F132" s="920"/>
      <c r="G132" s="920"/>
      <c r="H132" s="920"/>
      <c r="I132" s="647"/>
      <c r="J132" s="647"/>
      <c r="K132" s="647"/>
      <c r="L132" s="647"/>
      <c r="M132" s="647"/>
      <c r="N132" s="647"/>
      <c r="O132" s="647"/>
      <c r="P132" s="921"/>
      <c r="Q132" s="920"/>
      <c r="R132" s="935"/>
      <c r="S132" s="935"/>
      <c r="T132" s="935"/>
      <c r="U132" s="935"/>
      <c r="V132" s="935"/>
      <c r="W132" s="935"/>
      <c r="X132" s="935"/>
      <c r="Y132" s="935"/>
    </row>
    <row r="133" spans="1:25" s="922" customFormat="1" ht="12.75" customHeight="1" x14ac:dyDescent="0.2">
      <c r="A133" s="999" t="s">
        <v>377</v>
      </c>
      <c r="B133" s="1000"/>
      <c r="C133" s="1016"/>
      <c r="D133" s="1017"/>
      <c r="E133" s="934"/>
      <c r="F133" s="920"/>
      <c r="G133" s="920"/>
      <c r="H133" s="920"/>
      <c r="I133" s="647"/>
      <c r="J133" s="647"/>
      <c r="K133" s="647"/>
      <c r="L133" s="647"/>
      <c r="M133" s="647"/>
      <c r="N133" s="647"/>
      <c r="O133" s="647"/>
      <c r="P133" s="921"/>
      <c r="Q133" s="920"/>
      <c r="R133" s="935"/>
      <c r="S133" s="935"/>
      <c r="T133" s="935"/>
      <c r="U133" s="935"/>
      <c r="V133" s="935"/>
      <c r="W133" s="935"/>
      <c r="X133" s="935"/>
      <c r="Y133" s="935"/>
    </row>
    <row r="134" spans="1:25" s="922" customFormat="1" ht="12.75" customHeight="1" x14ac:dyDescent="0.2">
      <c r="A134" s="917" t="s">
        <v>1128</v>
      </c>
      <c r="B134" s="918"/>
      <c r="C134" s="936"/>
      <c r="D134" s="937"/>
      <c r="E134" s="934"/>
      <c r="F134" s="920"/>
      <c r="G134" s="920"/>
      <c r="H134" s="920"/>
      <c r="I134" s="647"/>
      <c r="J134" s="647"/>
      <c r="K134" s="647"/>
      <c r="L134" s="647"/>
      <c r="M134" s="647"/>
      <c r="N134" s="647"/>
      <c r="O134" s="647"/>
      <c r="P134" s="921"/>
      <c r="Q134" s="920"/>
      <c r="R134" s="935"/>
      <c r="S134" s="935"/>
      <c r="T134" s="935"/>
      <c r="U134" s="935"/>
      <c r="V134" s="935"/>
      <c r="W134" s="935"/>
      <c r="X134" s="935"/>
      <c r="Y134" s="935"/>
    </row>
    <row r="135" spans="1:25" s="922" customFormat="1" ht="12.75" customHeight="1" x14ac:dyDescent="0.2">
      <c r="A135" s="917" t="s">
        <v>1129</v>
      </c>
      <c r="B135" s="918"/>
      <c r="C135" s="936"/>
      <c r="D135" s="937"/>
      <c r="E135" s="934"/>
      <c r="F135" s="920"/>
      <c r="G135" s="920"/>
      <c r="H135" s="920"/>
      <c r="I135" s="647"/>
      <c r="J135" s="647"/>
      <c r="K135" s="647"/>
      <c r="L135" s="647"/>
      <c r="M135" s="647"/>
      <c r="N135" s="647"/>
      <c r="O135" s="647"/>
      <c r="P135" s="921"/>
      <c r="Q135" s="920"/>
      <c r="R135" s="935"/>
      <c r="S135" s="935"/>
      <c r="T135" s="935"/>
      <c r="U135" s="935"/>
      <c r="V135" s="935"/>
      <c r="W135" s="935"/>
      <c r="X135" s="935"/>
      <c r="Y135" s="935"/>
    </row>
    <row r="136" spans="1:25" s="922" customFormat="1" ht="12.75" customHeight="1" x14ac:dyDescent="0.2">
      <c r="A136" s="917" t="s">
        <v>365</v>
      </c>
      <c r="B136" s="918"/>
      <c r="C136" s="936"/>
      <c r="D136" s="937"/>
      <c r="E136" s="934"/>
      <c r="F136" s="920"/>
      <c r="G136" s="920"/>
      <c r="H136" s="920"/>
      <c r="I136" s="647"/>
      <c r="J136" s="647"/>
      <c r="K136" s="647"/>
      <c r="L136" s="647"/>
      <c r="M136" s="647"/>
      <c r="N136" s="647"/>
      <c r="O136" s="647"/>
      <c r="P136" s="921"/>
      <c r="Q136" s="920"/>
      <c r="R136" s="935"/>
      <c r="S136" s="935"/>
      <c r="T136" s="935"/>
      <c r="U136" s="935"/>
      <c r="V136" s="935"/>
      <c r="W136" s="935"/>
      <c r="X136" s="935"/>
      <c r="Y136" s="935"/>
    </row>
    <row r="137" spans="1:25" s="922" customFormat="1" ht="12.75" customHeight="1" x14ac:dyDescent="0.2">
      <c r="A137" s="917" t="s">
        <v>360</v>
      </c>
      <c r="B137" s="918"/>
      <c r="C137" s="936"/>
      <c r="D137" s="937"/>
      <c r="E137" s="934"/>
      <c r="F137" s="920"/>
      <c r="G137" s="920"/>
      <c r="H137" s="920"/>
      <c r="I137" s="647"/>
      <c r="J137" s="647"/>
      <c r="K137" s="647"/>
      <c r="L137" s="647"/>
      <c r="M137" s="647"/>
      <c r="N137" s="647"/>
      <c r="O137" s="647"/>
      <c r="P137" s="921"/>
      <c r="Q137" s="920"/>
      <c r="R137" s="935"/>
      <c r="S137" s="935"/>
      <c r="T137" s="935"/>
      <c r="U137" s="935"/>
      <c r="V137" s="935"/>
      <c r="W137" s="935"/>
      <c r="X137" s="935"/>
      <c r="Y137" s="935"/>
    </row>
    <row r="138" spans="1:25" s="922" customFormat="1" ht="12.75" customHeight="1" x14ac:dyDescent="0.2">
      <c r="A138" s="917" t="s">
        <v>366</v>
      </c>
      <c r="B138" s="918"/>
      <c r="C138" s="936"/>
      <c r="D138" s="937"/>
      <c r="E138" s="934"/>
      <c r="F138" s="920"/>
      <c r="G138" s="920"/>
      <c r="H138" s="920"/>
      <c r="I138" s="647"/>
      <c r="J138" s="647"/>
      <c r="K138" s="647"/>
      <c r="L138" s="647"/>
      <c r="M138" s="647"/>
      <c r="N138" s="647"/>
      <c r="O138" s="647"/>
      <c r="P138" s="921"/>
      <c r="Q138" s="920"/>
      <c r="R138" s="935"/>
      <c r="S138" s="935"/>
      <c r="T138" s="935"/>
      <c r="U138" s="935"/>
      <c r="V138" s="935"/>
      <c r="W138" s="935"/>
      <c r="X138" s="935"/>
      <c r="Y138" s="935"/>
    </row>
    <row r="139" spans="1:25" s="922" customFormat="1" ht="12.75" customHeight="1" x14ac:dyDescent="0.2">
      <c r="A139" s="917" t="s">
        <v>361</v>
      </c>
      <c r="B139" s="918"/>
      <c r="C139" s="936"/>
      <c r="D139" s="937"/>
      <c r="E139" s="934"/>
      <c r="F139" s="920"/>
      <c r="G139" s="920"/>
      <c r="H139" s="920"/>
      <c r="I139" s="647"/>
      <c r="J139" s="647"/>
      <c r="K139" s="647"/>
      <c r="L139" s="647"/>
      <c r="M139" s="647"/>
      <c r="N139" s="647"/>
      <c r="O139" s="647"/>
      <c r="P139" s="921"/>
      <c r="Q139" s="920"/>
      <c r="R139" s="935"/>
      <c r="S139" s="935"/>
      <c r="T139" s="935"/>
      <c r="U139" s="935"/>
      <c r="V139" s="935"/>
      <c r="W139" s="935"/>
      <c r="X139" s="935"/>
      <c r="Y139" s="935"/>
    </row>
    <row r="140" spans="1:25" s="922" customFormat="1" ht="12.75" customHeight="1" x14ac:dyDescent="0.2">
      <c r="A140" s="917" t="s">
        <v>367</v>
      </c>
      <c r="B140" s="918"/>
      <c r="C140" s="936"/>
      <c r="D140" s="937"/>
      <c r="E140" s="934"/>
      <c r="F140" s="920"/>
      <c r="G140" s="920"/>
      <c r="H140" s="920"/>
      <c r="I140" s="647"/>
      <c r="J140" s="647"/>
      <c r="K140" s="647"/>
      <c r="L140" s="647"/>
      <c r="M140" s="647"/>
      <c r="N140" s="647"/>
      <c r="O140" s="647"/>
      <c r="P140" s="921"/>
      <c r="Q140" s="920"/>
      <c r="R140" s="935"/>
      <c r="S140" s="935"/>
      <c r="T140" s="935"/>
      <c r="U140" s="935"/>
      <c r="V140" s="935"/>
      <c r="W140" s="935"/>
      <c r="X140" s="935"/>
      <c r="Y140" s="935"/>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35"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Consolidated Monthly Budget Statement Summary - Q4 Fourth Quarter</v>
      </c>
      <c r="B1" s="346"/>
      <c r="C1" s="346"/>
      <c r="D1" s="346"/>
      <c r="E1" s="346"/>
      <c r="F1" s="346"/>
      <c r="G1" s="346"/>
      <c r="H1" s="346"/>
      <c r="I1" s="346"/>
      <c r="J1" s="346"/>
    </row>
    <row r="2" spans="1:10" x14ac:dyDescent="0.25">
      <c r="A2" s="1019" t="str">
        <f>desc</f>
        <v>Description</v>
      </c>
      <c r="B2" s="158" t="str">
        <f>Head1</f>
        <v>2018/19</v>
      </c>
      <c r="C2" s="1021" t="str">
        <f>Head2</f>
        <v>Budget Year 2019/20</v>
      </c>
      <c r="D2" s="1022"/>
      <c r="E2" s="1022"/>
      <c r="F2" s="1022"/>
      <c r="G2" s="1022"/>
      <c r="H2" s="1022"/>
      <c r="I2" s="1022"/>
      <c r="J2" s="1023"/>
    </row>
    <row r="3" spans="1:10" ht="25.5" x14ac:dyDescent="0.25">
      <c r="A3" s="1020"/>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87704042.309999987</v>
      </c>
      <c r="F6" s="408">
        <f>SUM('C4-FinPerf RE'!G6:G6)</f>
        <v>1179011657.9400003</v>
      </c>
      <c r="G6" s="651">
        <f>SUM('C4-FinPerf RE'!H6:H6)</f>
        <v>1200771538.4599996</v>
      </c>
      <c r="H6" s="408">
        <f>F6-G6</f>
        <v>-21759880.519999266</v>
      </c>
      <c r="I6" s="592">
        <f>IF(H6=0,"",H6/G6)</f>
        <v>-1.812158251844186E-2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108732732.55</v>
      </c>
      <c r="F7" s="408">
        <f>SUM('C4-FinPerf RE'!G7:G10)</f>
        <v>3121566782.3800001</v>
      </c>
      <c r="G7" s="651">
        <f>SUM('C4-FinPerf RE'!H7:H10)</f>
        <v>3337523937.4810877</v>
      </c>
      <c r="H7" s="408">
        <f>F7-G7</f>
        <v>-215957155.10108757</v>
      </c>
      <c r="I7" s="207">
        <f>IF(H7=0,"",H7/G7)</f>
        <v>-6.4705799612654102E-2</v>
      </c>
      <c r="J7" s="643">
        <f>SUM('C4-FinPerf RE'!K7:K10)</f>
        <v>3337523937.4810877</v>
      </c>
    </row>
    <row r="8" spans="1:10" ht="12.75" customHeight="1" x14ac:dyDescent="0.25">
      <c r="A8" s="152" t="s">
        <v>503</v>
      </c>
      <c r="B8" s="649">
        <f>'C4-FinPerf RE'!C13</f>
        <v>39866400</v>
      </c>
      <c r="C8" s="650">
        <f>'C4-FinPerf RE'!D13</f>
        <v>14702275.050000001</v>
      </c>
      <c r="D8" s="408">
        <f>'C4-FinPerf RE'!E13</f>
        <v>14702275.050000001</v>
      </c>
      <c r="E8" s="408">
        <f>'C4-FinPerf RE'!F13</f>
        <v>1769145.74</v>
      </c>
      <c r="F8" s="408">
        <f>'C4-FinPerf RE'!G13</f>
        <v>14116343.540000001</v>
      </c>
      <c r="G8" s="651">
        <f>'C4-FinPerf RE'!H13</f>
        <v>14702275.050000001</v>
      </c>
      <c r="H8" s="408">
        <f>F8-G8</f>
        <v>-585931.50999999978</v>
      </c>
      <c r="I8" s="207">
        <f>IF(H8=0,"",H8/G8)</f>
        <v>-3.985311851447098E-2</v>
      </c>
      <c r="J8" s="643">
        <f>'C4-FinPerf RE'!K13</f>
        <v>14702275.050000001</v>
      </c>
    </row>
    <row r="9" spans="1:10" ht="12.75" customHeight="1" x14ac:dyDescent="0.25">
      <c r="A9" s="152" t="s">
        <v>1131</v>
      </c>
      <c r="B9" s="649">
        <f>'C4-FinPerf RE'!C19</f>
        <v>667200100</v>
      </c>
      <c r="C9" s="650">
        <f>'C4-FinPerf RE'!D19</f>
        <v>672022829</v>
      </c>
      <c r="D9" s="408">
        <f>'C4-FinPerf RE'!E19</f>
        <v>687201130</v>
      </c>
      <c r="E9" s="408">
        <f>'C4-FinPerf RE'!F19</f>
        <v>49143496.149999999</v>
      </c>
      <c r="F9" s="408">
        <f>'C4-FinPerf RE'!G19</f>
        <v>637128043.97000015</v>
      </c>
      <c r="G9" s="651">
        <f>'C4-FinPerf RE'!H19</f>
        <v>687201130</v>
      </c>
      <c r="H9" s="408">
        <f>F9-G9</f>
        <v>-50073086.029999852</v>
      </c>
      <c r="I9" s="207">
        <f>IF(H9=0,"",H9/G9)</f>
        <v>-7.2865255663942016E-2</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73051499.98999998</v>
      </c>
      <c r="F10" s="409">
        <f>'C4-FinPerf RE'!G12+'C4-FinPerf RE'!G14+'C4-FinPerf RE'!G15+'C4-FinPerf RE'!G16+'C4-FinPerf RE'!G17+'C4-FinPerf RE'!G18+'C4-FinPerf RE'!G20+'C4-FinPerf RE'!G21</f>
        <v>488850152.31999874</v>
      </c>
      <c r="G10" s="654">
        <f>'C4-FinPerf RE'!H12+'C4-FinPerf RE'!H14+'C4-FinPerf RE'!H15+'C4-FinPerf RE'!H16+'C4-FinPerf RE'!H17+'C4-FinPerf RE'!H18+'C4-FinPerf RE'!H20+'C4-FinPerf RE'!H21</f>
        <v>379601756.89999998</v>
      </c>
      <c r="H10" s="409">
        <f>F10-G10</f>
        <v>109248395.41999876</v>
      </c>
      <c r="I10" s="208">
        <f>IF(H10=0,"",H10/G10)</f>
        <v>0.2877973914350942</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5604622337.1070862</v>
      </c>
      <c r="D11" s="658">
        <f t="shared" si="0"/>
        <v>5619800637.8910875</v>
      </c>
      <c r="E11" s="658">
        <f t="shared" si="0"/>
        <v>320400916.74000001</v>
      </c>
      <c r="F11" s="658">
        <f t="shared" si="0"/>
        <v>5440672980.1499996</v>
      </c>
      <c r="G11" s="659">
        <f t="shared" si="0"/>
        <v>5619800637.8910875</v>
      </c>
      <c r="H11" s="658">
        <f t="shared" ref="H11:H25" si="1">F11-G11</f>
        <v>-179127657.74108791</v>
      </c>
      <c r="I11" s="594">
        <f t="shared" ref="I11:I25" si="2">IF(H11=0,"",H11/G11)</f>
        <v>-3.1874379410068931E-2</v>
      </c>
      <c r="J11" s="660">
        <f t="shared" si="0"/>
        <v>5619800637.8910875</v>
      </c>
    </row>
    <row r="12" spans="1:10" ht="12.75" customHeight="1" x14ac:dyDescent="0.25">
      <c r="A12" s="152" t="s">
        <v>482</v>
      </c>
      <c r="B12" s="649">
        <f>'C4-FinPerf RE'!C25</f>
        <v>1268313732</v>
      </c>
      <c r="C12" s="650">
        <f>'C4-FinPerf RE'!D25</f>
        <v>1455869442.71</v>
      </c>
      <c r="D12" s="408">
        <f>'C4-FinPerf RE'!E25</f>
        <v>1455410731.7000008</v>
      </c>
      <c r="E12" s="408">
        <f>'C4-FinPerf RE'!F25</f>
        <v>78800952.099999979</v>
      </c>
      <c r="F12" s="408">
        <f>'C4-FinPerf RE'!G25</f>
        <v>1250924393.7800012</v>
      </c>
      <c r="G12" s="651">
        <f>'C4-FinPerf RE'!H25</f>
        <v>1455410731.7000008</v>
      </c>
      <c r="H12" s="408">
        <f t="shared" si="1"/>
        <v>-204486337.9199996</v>
      </c>
      <c r="I12" s="207">
        <f t="shared" si="2"/>
        <v>-0.14050077649293419</v>
      </c>
      <c r="J12" s="643">
        <f>'C4-FinPerf RE'!K25</f>
        <v>1455410731.7000008</v>
      </c>
    </row>
    <row r="13" spans="1:10" ht="12.75" customHeight="1" x14ac:dyDescent="0.25">
      <c r="A13" s="152" t="s">
        <v>853</v>
      </c>
      <c r="B13" s="649">
        <f>'C4-FinPerf RE'!C26</f>
        <v>48573499</v>
      </c>
      <c r="C13" s="650">
        <f>'C4-FinPerf RE'!D26</f>
        <v>51487908.93999999</v>
      </c>
      <c r="D13" s="408">
        <f>'C4-FinPerf RE'!E26</f>
        <v>51487908.93999999</v>
      </c>
      <c r="E13" s="408">
        <f>'C4-FinPerf RE'!F26</f>
        <v>3691384.77</v>
      </c>
      <c r="F13" s="408">
        <f>'C4-FinPerf RE'!G26</f>
        <v>43759323.830000021</v>
      </c>
      <c r="G13" s="651">
        <f>'C4-FinPerf RE'!H26</f>
        <v>51487908.939999983</v>
      </c>
      <c r="H13" s="408">
        <f t="shared" si="1"/>
        <v>-7728585.1099999622</v>
      </c>
      <c r="I13" s="207">
        <f t="shared" si="2"/>
        <v>-0.1501048550836713</v>
      </c>
      <c r="J13" s="643">
        <f>'C4-FinPerf RE'!K26</f>
        <v>51487908.93999999</v>
      </c>
    </row>
    <row r="14" spans="1:10" ht="12.75" customHeight="1" x14ac:dyDescent="0.25">
      <c r="A14" s="582" t="s">
        <v>671</v>
      </c>
      <c r="B14" s="649">
        <f>'C4-FinPerf RE'!C28</f>
        <v>467691505</v>
      </c>
      <c r="C14" s="650">
        <f>'C4-FinPerf RE'!D28</f>
        <v>492025080.2500006</v>
      </c>
      <c r="D14" s="408">
        <f>'C4-FinPerf RE'!E28</f>
        <v>492071235.64999992</v>
      </c>
      <c r="E14" s="408">
        <f>'C4-FinPerf RE'!F28</f>
        <v>-13559009.339999987</v>
      </c>
      <c r="F14" s="408">
        <f>'C4-FinPerf RE'!G28</f>
        <v>417808444.08000022</v>
      </c>
      <c r="G14" s="651">
        <f>'C4-FinPerf RE'!H28</f>
        <v>492071235.64999992</v>
      </c>
      <c r="H14" s="408">
        <f t="shared" si="1"/>
        <v>-74262791.569999695</v>
      </c>
      <c r="I14" s="207">
        <f t="shared" si="2"/>
        <v>-0.15091878205785084</v>
      </c>
      <c r="J14" s="643">
        <f>'C4-FinPerf RE'!K28</f>
        <v>492071235.64999992</v>
      </c>
    </row>
    <row r="15" spans="1:10" ht="12.75" customHeight="1" x14ac:dyDescent="0.25">
      <c r="A15" s="152" t="s">
        <v>459</v>
      </c>
      <c r="B15" s="649">
        <f>'C4-FinPerf RE'!C29</f>
        <v>50676476</v>
      </c>
      <c r="C15" s="650">
        <f>'C4-FinPerf RE'!D29</f>
        <v>41660099</v>
      </c>
      <c r="D15" s="408">
        <f>'C4-FinPerf RE'!E29</f>
        <v>41660099</v>
      </c>
      <c r="E15" s="408">
        <f>'C4-FinPerf RE'!F29</f>
        <v>3291398.47</v>
      </c>
      <c r="F15" s="408">
        <f>'C4-FinPerf RE'!G29</f>
        <v>43716969.409999996</v>
      </c>
      <c r="G15" s="651">
        <f>'C4-FinPerf RE'!H29</f>
        <v>41660099</v>
      </c>
      <c r="H15" s="408">
        <f t="shared" si="1"/>
        <v>2056870.4099999964</v>
      </c>
      <c r="I15" s="207">
        <f t="shared" si="2"/>
        <v>4.9372672158076156E-2</v>
      </c>
      <c r="J15" s="643">
        <f>'C4-FinPerf RE'!K29</f>
        <v>41660099</v>
      </c>
    </row>
    <row r="16" spans="1:10" ht="12.75" customHeight="1" x14ac:dyDescent="0.25">
      <c r="A16" s="152" t="s">
        <v>502</v>
      </c>
      <c r="B16" s="649">
        <f>SUM('C4-FinPerf RE'!C30:C31)</f>
        <v>2069128594.03</v>
      </c>
      <c r="C16" s="650">
        <f>SUM('C4-FinPerf RE'!D30:D31)</f>
        <v>2338356309.6285768</v>
      </c>
      <c r="D16" s="408">
        <f>SUM('C4-FinPerf RE'!E30:E31)</f>
        <v>2334160826.4085765</v>
      </c>
      <c r="E16" s="408">
        <f>SUM('C4-FinPerf RE'!F30:F31)</f>
        <v>322447734.77999997</v>
      </c>
      <c r="F16" s="408">
        <f>SUM('C4-FinPerf RE'!G30:G31)</f>
        <v>2550304174.1600003</v>
      </c>
      <c r="G16" s="651">
        <f>SUM('C4-FinPerf RE'!H30:H31)</f>
        <v>2334160826.4085765</v>
      </c>
      <c r="H16" s="408">
        <f t="shared" si="1"/>
        <v>216143347.75142384</v>
      </c>
      <c r="I16" s="592">
        <f t="shared" si="2"/>
        <v>9.2600023659890535E-2</v>
      </c>
      <c r="J16" s="643">
        <f>SUM('C4-FinPerf RE'!K30:K31)</f>
        <v>2334160826.4085765</v>
      </c>
    </row>
    <row r="17" spans="1:11" ht="12.75" customHeight="1" x14ac:dyDescent="0.25">
      <c r="A17" s="152" t="s">
        <v>1131</v>
      </c>
      <c r="B17" s="649">
        <f>'C4-FinPerf RE'!C33</f>
        <v>42492244</v>
      </c>
      <c r="C17" s="650">
        <f>'C4-FinPerf RE'!D33</f>
        <v>46379439.519999988</v>
      </c>
      <c r="D17" s="408">
        <f>'C4-FinPerf RE'!E33</f>
        <v>49902933.629999988</v>
      </c>
      <c r="E17" s="408">
        <f>'C4-FinPerf RE'!F33</f>
        <v>-22725272.349999998</v>
      </c>
      <c r="F17" s="408">
        <f>'C4-FinPerf RE'!G33</f>
        <v>25306677.319999997</v>
      </c>
      <c r="G17" s="651">
        <f>'C4-FinPerf RE'!H33</f>
        <v>49902933.629999988</v>
      </c>
      <c r="H17" s="408">
        <f t="shared" si="1"/>
        <v>-24596256.309999991</v>
      </c>
      <c r="I17" s="207">
        <f t="shared" si="2"/>
        <v>-0.49288197147619267</v>
      </c>
      <c r="J17" s="643">
        <f>'C4-FinPerf RE'!K33</f>
        <v>49902933.629999988</v>
      </c>
    </row>
    <row r="18" spans="1:11" ht="12.75" customHeight="1" x14ac:dyDescent="0.25">
      <c r="A18" s="152" t="s">
        <v>440</v>
      </c>
      <c r="B18" s="649">
        <f>'C4-FinPerf RE'!C36-SUM('C1-Sum'!B12:B17)</f>
        <v>987482388.97000122</v>
      </c>
      <c r="C18" s="650">
        <f>'C4-FinPerf RE'!D36-SUM('C1-Sum'!C12:C17)</f>
        <v>902728708.89999676</v>
      </c>
      <c r="D18" s="408">
        <f>'C4-FinPerf RE'!E36-SUM('C1-Sum'!D12:D17)</f>
        <v>807398337.28000069</v>
      </c>
      <c r="E18" s="408">
        <f>'C4-FinPerf RE'!F36-SUM('C1-Sum'!E12:E17)</f>
        <v>-10310513.889999986</v>
      </c>
      <c r="F18" s="408">
        <f>'C4-FinPerf RE'!G36-SUM('C1-Sum'!F12:F17)</f>
        <v>716771318.96999931</v>
      </c>
      <c r="G18" s="651">
        <f>'C4-FinPerf RE'!H36-SUM('C1-Sum'!G12:G17)</f>
        <v>807398337.28000069</v>
      </c>
      <c r="H18" s="408">
        <f t="shared" si="1"/>
        <v>-90627018.310001373</v>
      </c>
      <c r="I18" s="207">
        <f t="shared" si="2"/>
        <v>-0.11224573314741976</v>
      </c>
      <c r="J18" s="643">
        <f>'C4-FinPerf RE'!K36-SUM('C1-Sum'!J12:J17)</f>
        <v>807398337.28000069</v>
      </c>
    </row>
    <row r="19" spans="1:11" ht="12.75" customHeight="1" x14ac:dyDescent="0.25">
      <c r="A19" s="584" t="s">
        <v>495</v>
      </c>
      <c r="B19" s="661">
        <f t="shared" ref="B19:G19" si="3">SUM(B12:B18)</f>
        <v>4934358439.000001</v>
      </c>
      <c r="C19" s="662">
        <f t="shared" si="3"/>
        <v>5328506988.948575</v>
      </c>
      <c r="D19" s="663">
        <f t="shared" si="3"/>
        <v>5232092072.6085777</v>
      </c>
      <c r="E19" s="663">
        <f t="shared" si="3"/>
        <v>361636674.53999996</v>
      </c>
      <c r="F19" s="663">
        <f t="shared" si="3"/>
        <v>5048591301.5500011</v>
      </c>
      <c r="G19" s="664">
        <f t="shared" si="3"/>
        <v>5232092072.6085777</v>
      </c>
      <c r="H19" s="663">
        <f t="shared" si="1"/>
        <v>-183500771.05857658</v>
      </c>
      <c r="I19" s="382">
        <f t="shared" si="2"/>
        <v>-3.5072160143980062E-2</v>
      </c>
      <c r="J19" s="665">
        <f>SUM(J12:J18)</f>
        <v>5232092072.6085777</v>
      </c>
    </row>
    <row r="20" spans="1:11" ht="12.75" customHeight="1" x14ac:dyDescent="0.25">
      <c r="A20" s="153" t="s">
        <v>496</v>
      </c>
      <c r="B20" s="666">
        <f t="shared" ref="B20:G20" si="4">B11-B19</f>
        <v>92986317.999999046</v>
      </c>
      <c r="C20" s="667">
        <f t="shared" si="4"/>
        <v>276115348.15851116</v>
      </c>
      <c r="D20" s="638">
        <f t="shared" si="4"/>
        <v>387708565.2825098</v>
      </c>
      <c r="E20" s="638">
        <f t="shared" si="4"/>
        <v>-41235757.799999952</v>
      </c>
      <c r="F20" s="638">
        <f t="shared" si="4"/>
        <v>392081678.59999847</v>
      </c>
      <c r="G20" s="668">
        <f t="shared" si="4"/>
        <v>387708565.2825098</v>
      </c>
      <c r="H20" s="638">
        <f t="shared" si="1"/>
        <v>4373113.3174886703</v>
      </c>
      <c r="I20" s="206">
        <f t="shared" si="2"/>
        <v>1.1279382786661249E-2</v>
      </c>
      <c r="J20" s="642">
        <f>J11-J19</f>
        <v>387708565.2825098</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125029871.22000001</v>
      </c>
      <c r="F21" s="408">
        <f>'C4-FinPerf RE'!G39</f>
        <v>431537130.45999998</v>
      </c>
      <c r="G21" s="651">
        <f>'C4-FinPerf RE'!H39</f>
        <v>674822398</v>
      </c>
      <c r="H21" s="408">
        <f t="shared" si="1"/>
        <v>-243285267.54000002</v>
      </c>
      <c r="I21" s="207">
        <f t="shared" si="2"/>
        <v>-0.36051747579961035</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715457748.15851116</v>
      </c>
      <c r="D23" s="658">
        <f t="shared" si="5"/>
        <v>1062530963.2825098</v>
      </c>
      <c r="E23" s="658">
        <f t="shared" si="5"/>
        <v>83794113.420000061</v>
      </c>
      <c r="F23" s="658">
        <f t="shared" si="5"/>
        <v>823618809.05999851</v>
      </c>
      <c r="G23" s="659">
        <f t="shared" si="5"/>
        <v>1062530963.2825098</v>
      </c>
      <c r="H23" s="658">
        <f t="shared" si="1"/>
        <v>-238912154.22251129</v>
      </c>
      <c r="I23" s="593">
        <f t="shared" si="2"/>
        <v>-0.22485194547595355</v>
      </c>
      <c r="J23" s="660">
        <f>J20+J21+J22</f>
        <v>1062530963.2825098</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715457748.15851116</v>
      </c>
      <c r="D25" s="638">
        <f t="shared" si="6"/>
        <v>1062530963.2825098</v>
      </c>
      <c r="E25" s="638">
        <f t="shared" si="6"/>
        <v>83794113.420000061</v>
      </c>
      <c r="F25" s="638">
        <f t="shared" si="6"/>
        <v>823618809.05999851</v>
      </c>
      <c r="G25" s="668">
        <f t="shared" si="6"/>
        <v>1062530963.2825098</v>
      </c>
      <c r="H25" s="638">
        <f t="shared" si="1"/>
        <v>-238912154.22251129</v>
      </c>
      <c r="I25" s="206">
        <f t="shared" si="2"/>
        <v>-0.22485194547595355</v>
      </c>
      <c r="J25" s="642">
        <f>J23+J24</f>
        <v>1062530963.2825098</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555371301.39999998</v>
      </c>
      <c r="D28" s="663">
        <f>'C5-Capex'!E40</f>
        <v>746737136.71000004</v>
      </c>
      <c r="E28" s="663">
        <f>'C5-Capex'!F40</f>
        <v>131975292.34</v>
      </c>
      <c r="F28" s="663">
        <f>'C5-Capex'!G40</f>
        <v>420053219.23000002</v>
      </c>
      <c r="G28" s="664">
        <f>'C5-Capex'!H40</f>
        <v>746737136.71000004</v>
      </c>
      <c r="H28" s="663">
        <f t="shared" ref="H28:H33" si="7">F28-G28</f>
        <v>-326683917.48000002</v>
      </c>
      <c r="I28" s="382">
        <f t="shared" ref="I28:I33" si="8">IF(H28=0,"",H28/G28)</f>
        <v>-0.43748181444318568</v>
      </c>
      <c r="J28" s="665">
        <f>'C5-Capex'!K40</f>
        <v>746737136.71000004</v>
      </c>
    </row>
    <row r="29" spans="1:11" ht="12.75" customHeight="1" x14ac:dyDescent="0.25">
      <c r="A29" s="152" t="s">
        <v>506</v>
      </c>
      <c r="B29" s="649">
        <f>'C5-Capex'!C70</f>
        <v>466029304</v>
      </c>
      <c r="C29" s="650">
        <f>'C5-Capex'!D70</f>
        <v>439342400</v>
      </c>
      <c r="D29" s="408">
        <f>'C5-Capex'!E70</f>
        <v>667412194</v>
      </c>
      <c r="E29" s="408">
        <f>'C5-Capex'!F70</f>
        <v>110998748.84</v>
      </c>
      <c r="F29" s="408">
        <f>'C5-Capex'!G70</f>
        <v>390229214.59000003</v>
      </c>
      <c r="G29" s="651">
        <f>'C5-Capex'!H70</f>
        <v>667412194</v>
      </c>
      <c r="H29" s="408">
        <f t="shared" si="7"/>
        <v>-277182979.40999997</v>
      </c>
      <c r="I29" s="592">
        <f t="shared" si="8"/>
        <v>-0.41531003164440228</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1722370.13</v>
      </c>
      <c r="F31" s="408">
        <f>'C5-Capex'!G72</f>
        <v>4229818.17</v>
      </c>
      <c r="G31" s="651">
        <f>'C5-Capex'!H72</f>
        <v>5631044</v>
      </c>
      <c r="H31" s="408">
        <f t="shared" si="7"/>
        <v>-1401225.83</v>
      </c>
      <c r="I31" s="207">
        <f t="shared" si="8"/>
        <v>-0.24883943900988875</v>
      </c>
      <c r="J31" s="643">
        <f>'C5-Capex'!K72</f>
        <v>5631044</v>
      </c>
      <c r="K31" s="156"/>
    </row>
    <row r="32" spans="1:11" ht="12.75" customHeight="1" x14ac:dyDescent="0.25">
      <c r="A32" s="152" t="s">
        <v>479</v>
      </c>
      <c r="B32" s="661">
        <f>'C5-Capex'!C73</f>
        <v>100404385</v>
      </c>
      <c r="C32" s="662">
        <f>'C5-Capex'!D73</f>
        <v>110397875</v>
      </c>
      <c r="D32" s="663">
        <f>'C5-Capex'!E73</f>
        <v>73693898.710000008</v>
      </c>
      <c r="E32" s="663">
        <f>'C5-Capex'!F73</f>
        <v>19254173.370000001</v>
      </c>
      <c r="F32" s="663">
        <f>'C5-Capex'!G73</f>
        <v>25594186.469999999</v>
      </c>
      <c r="G32" s="664">
        <f>'C5-Capex'!H73</f>
        <v>73693898.710000008</v>
      </c>
      <c r="H32" s="663">
        <f t="shared" si="7"/>
        <v>-48099712.24000001</v>
      </c>
      <c r="I32" s="382">
        <f t="shared" si="8"/>
        <v>-0.65269599087547048</v>
      </c>
      <c r="J32" s="665">
        <f>'C5-Capex'!K73</f>
        <v>73693898.710000008</v>
      </c>
      <c r="K32" s="156"/>
    </row>
    <row r="33" spans="1:10" ht="12.75" customHeight="1" x14ac:dyDescent="0.25">
      <c r="A33" s="584" t="s">
        <v>143</v>
      </c>
      <c r="B33" s="669">
        <f t="shared" ref="B33:G33" si="9">+B29+B31+B32</f>
        <v>613486541</v>
      </c>
      <c r="C33" s="614">
        <f t="shared" si="9"/>
        <v>555371319</v>
      </c>
      <c r="D33" s="612">
        <f t="shared" si="9"/>
        <v>746737136.71000004</v>
      </c>
      <c r="E33" s="612">
        <f t="shared" si="9"/>
        <v>131975292.34</v>
      </c>
      <c r="F33" s="612">
        <f t="shared" si="9"/>
        <v>420053219.23000002</v>
      </c>
      <c r="G33" s="613">
        <f t="shared" si="9"/>
        <v>746737136.71000004</v>
      </c>
      <c r="H33" s="612">
        <f t="shared" si="7"/>
        <v>-326683917.48000002</v>
      </c>
      <c r="I33" s="595">
        <f t="shared" si="8"/>
        <v>-0.43748181444318568</v>
      </c>
      <c r="J33" s="615">
        <f>+J29+J31+J32</f>
        <v>746737136.71000004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1437363761.4122667</v>
      </c>
      <c r="D36" s="408">
        <f>'C6-FinPos'!E13</f>
        <v>1437510257.9922667</v>
      </c>
      <c r="E36" s="408"/>
      <c r="F36" s="408">
        <f>'C6-FinPos'!F13</f>
        <v>2816327834.9300008</v>
      </c>
      <c r="G36" s="217"/>
      <c r="H36" s="217"/>
      <c r="I36" s="219"/>
      <c r="J36" s="643">
        <f>'C6-FinPos'!G13</f>
        <v>1437510257.9922667</v>
      </c>
    </row>
    <row r="37" spans="1:10" ht="12.75" customHeight="1" x14ac:dyDescent="0.25">
      <c r="A37" s="152" t="s">
        <v>638</v>
      </c>
      <c r="B37" s="649">
        <f>'C6-FinPos'!C25</f>
        <v>8217504095</v>
      </c>
      <c r="C37" s="650">
        <f>'C6-FinPos'!D25</f>
        <v>8039624767.2796135</v>
      </c>
      <c r="D37" s="408">
        <f>'C6-FinPos'!E25</f>
        <v>7945534905.2796135</v>
      </c>
      <c r="E37" s="408"/>
      <c r="F37" s="408">
        <f>'C6-FinPos'!F25</f>
        <v>8090319749.3200035</v>
      </c>
      <c r="G37" s="217"/>
      <c r="H37" s="217"/>
      <c r="I37" s="219"/>
      <c r="J37" s="643">
        <f>'C6-FinPos'!G25</f>
        <v>7945534905.2796135</v>
      </c>
    </row>
    <row r="38" spans="1:10" ht="12.75" customHeight="1" x14ac:dyDescent="0.25">
      <c r="A38" s="152" t="s">
        <v>466</v>
      </c>
      <c r="B38" s="649">
        <f>'C6-FinPos'!C35</f>
        <v>1473390857</v>
      </c>
      <c r="C38" s="650">
        <f>'C6-FinPos'!D35</f>
        <v>1320730517.8144519</v>
      </c>
      <c r="D38" s="408">
        <f>'C6-FinPos'!E35</f>
        <v>1320730517.8144519</v>
      </c>
      <c r="E38" s="408"/>
      <c r="F38" s="408">
        <f>'C6-FinPos'!F35</f>
        <v>1843060278.3900001</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855792380.28999996</v>
      </c>
      <c r="G39" s="217"/>
      <c r="H39" s="217"/>
      <c r="I39" s="219"/>
      <c r="J39" s="643">
        <f>'C6-FinPos'!G40</f>
        <v>1202464023.8183651</v>
      </c>
    </row>
    <row r="40" spans="1:10" ht="12.75" customHeight="1" x14ac:dyDescent="0.25">
      <c r="A40" s="152" t="s">
        <v>142</v>
      </c>
      <c r="B40" s="666">
        <f>'C6-FinPos'!C48</f>
        <v>6868524280</v>
      </c>
      <c r="C40" s="667">
        <f>'C6-FinPos'!D48</f>
        <v>6953793987.059062</v>
      </c>
      <c r="D40" s="638">
        <f>'C6-FinPos'!E48</f>
        <v>6859850621.6390638</v>
      </c>
      <c r="E40" s="408"/>
      <c r="F40" s="638">
        <f>'C6-FinPos'!F48</f>
        <v>8207794925.5700054</v>
      </c>
      <c r="G40" s="596"/>
      <c r="H40" s="596"/>
      <c r="I40" s="597"/>
      <c r="J40" s="642">
        <f>'C6-FinPos'!G48</f>
        <v>6859850621.6390638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645280409.45052338</v>
      </c>
      <c r="D43" s="408">
        <f>'C7-CFlow'!E18</f>
        <v>1025121583.2866912</v>
      </c>
      <c r="E43" s="408">
        <f>'C7-CFlow'!F18</f>
        <v>0</v>
      </c>
      <c r="F43" s="408">
        <f>'C7-CFlow'!G18</f>
        <v>0</v>
      </c>
      <c r="G43" s="651">
        <f>'C7-CFlow'!H18</f>
        <v>1025121583.2866912</v>
      </c>
      <c r="H43" s="408">
        <f>G43-F43</f>
        <v>1025121583.2866912</v>
      </c>
      <c r="I43" s="207">
        <f>IF(H43=0,"",H43/G43)</f>
        <v>1</v>
      </c>
      <c r="J43" s="643">
        <f>'C7-CFlow'!K18</f>
        <v>1025121583.2866912</v>
      </c>
    </row>
    <row r="44" spans="1:10" ht="12.75" customHeight="1" x14ac:dyDescent="0.25">
      <c r="A44" s="152" t="s">
        <v>656</v>
      </c>
      <c r="B44" s="649">
        <f>'C7-CFlow'!C28</f>
        <v>0</v>
      </c>
      <c r="C44" s="650">
        <f>'C7-CFlow'!D28</f>
        <v>-527602753.05000001</v>
      </c>
      <c r="D44" s="408">
        <f>'C7-CFlow'!E28</f>
        <v>-700730232.32999992</v>
      </c>
      <c r="E44" s="408">
        <f>'C7-CFlow'!F28</f>
        <v>0</v>
      </c>
      <c r="F44" s="408">
        <f>'C7-CFlow'!G28</f>
        <v>0</v>
      </c>
      <c r="G44" s="651">
        <f>'C7-CFlow'!H28</f>
        <v>-700730232.32999992</v>
      </c>
      <c r="H44" s="408">
        <f>G44-F44</f>
        <v>-700730232.32999992</v>
      </c>
      <c r="I44" s="207">
        <f>IF(H44=0,"",H44/G44)</f>
        <v>1</v>
      </c>
      <c r="J44" s="643">
        <f>'C7-CFlow'!K28</f>
        <v>-700730232.32999992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-79056107</v>
      </c>
      <c r="H45" s="408">
        <f>G45-F45</f>
        <v>-79056107</v>
      </c>
      <c r="I45" s="207">
        <f>IF(H45=0,"",H45/G45)</f>
        <v>1</v>
      </c>
      <c r="J45" s="643">
        <f>'C7-CFlow'!K37</f>
        <v>-79056107</v>
      </c>
    </row>
    <row r="46" spans="1:10" ht="12.75" customHeight="1" x14ac:dyDescent="0.25">
      <c r="A46" s="153" t="s">
        <v>54</v>
      </c>
      <c r="B46" s="666">
        <f>'C7-CFlow'!C41</f>
        <v>0</v>
      </c>
      <c r="C46" s="667">
        <f>'C7-CFlow'!D41</f>
        <v>499740557.05905336</v>
      </c>
      <c r="D46" s="638">
        <f>'C7-CFlow'!E41</f>
        <v>536121506.61522126</v>
      </c>
      <c r="E46" s="638">
        <f>'C7-CFlow'!F41</f>
        <v>0</v>
      </c>
      <c r="F46" s="638">
        <f>'C7-CFlow'!G41</f>
        <v>0</v>
      </c>
      <c r="G46" s="668">
        <f>'C7-CFlow'!H41</f>
        <v>536121506.61522126</v>
      </c>
      <c r="H46" s="638">
        <f>G46-F46</f>
        <v>536121506.61522126</v>
      </c>
      <c r="I46" s="206">
        <f>IF(H46=0,"",H46/G46)</f>
        <v>1</v>
      </c>
      <c r="J46" s="642">
        <f>'C7-CFlow'!K41</f>
        <v>245335243.95669127</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704600774.9000001</v>
      </c>
      <c r="C50" s="650">
        <f>'SC3'!D14</f>
        <v>-4325301.0500000007</v>
      </c>
      <c r="D50" s="408">
        <f>'SC3'!E14</f>
        <v>117682805.63</v>
      </c>
      <c r="E50" s="408">
        <f>'SC3'!F14</f>
        <v>101021025.72999999</v>
      </c>
      <c r="F50" s="408">
        <f>'SC3'!G14</f>
        <v>97617113.170000002</v>
      </c>
      <c r="G50" s="651">
        <f>'SC3'!H14</f>
        <v>89416119.01000002</v>
      </c>
      <c r="H50" s="408">
        <f>'SC3'!I14</f>
        <v>534223289.34000009</v>
      </c>
      <c r="I50" s="651">
        <f>'SC3'!J14</f>
        <v>2831952593.4300003</v>
      </c>
      <c r="J50" s="643">
        <f>'SC3'!K14</f>
        <v>4472188420.1599998</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1267994619.9400001</v>
      </c>
      <c r="C52" s="650">
        <f>'SC4'!D15</f>
        <v>105783219.20999999</v>
      </c>
      <c r="D52" s="408">
        <f>'SC4'!E15</f>
        <v>12458030.119999999</v>
      </c>
      <c r="E52" s="408">
        <f>'SC4'!F15</f>
        <v>1348072.8</v>
      </c>
      <c r="F52" s="408">
        <f>'SC4'!G15</f>
        <v>111454.75</v>
      </c>
      <c r="G52" s="651">
        <f>'SC4'!H15</f>
        <v>22968.29</v>
      </c>
      <c r="H52" s="408">
        <f>'SC4'!I15</f>
        <v>20273.8</v>
      </c>
      <c r="I52" s="651">
        <f>'SC4'!J15</f>
        <v>1490406.67</v>
      </c>
      <c r="J52" s="643">
        <f>'SC4'!K15</f>
        <v>1389229045.5800002</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8"/>
      <c r="B55" s="1018"/>
      <c r="C55" s="1018"/>
      <c r="D55" s="1018"/>
      <c r="E55" s="1018"/>
      <c r="F55" s="1018"/>
      <c r="G55" s="1018"/>
      <c r="H55" s="1018"/>
      <c r="I55" s="1018"/>
      <c r="J55" s="1018"/>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8" activePane="bottomRight" state="frozen"/>
      <selection pane="topRight"/>
      <selection pane="bottomLeft"/>
      <selection pane="bottomRight" sqref="A1:K5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8" t="str">
        <f>muni&amp; " - "&amp;S71A&amp; " - "&amp;date</f>
        <v>KZN225 Msunduzi - Table C2 Consolidated Monthly Budget Statement - Financial Performance (functional classification)  - Q4 Fourth Quarter</v>
      </c>
      <c r="B1" s="1028"/>
      <c r="C1" s="1028"/>
      <c r="D1" s="1028"/>
      <c r="E1" s="1028"/>
      <c r="F1" s="1028"/>
      <c r="G1" s="1028"/>
      <c r="H1" s="1028"/>
      <c r="I1" s="1028"/>
      <c r="J1" s="1028"/>
      <c r="K1" s="1028"/>
    </row>
    <row r="2" spans="1:18" x14ac:dyDescent="0.25">
      <c r="A2" s="1026" t="str">
        <f>desc</f>
        <v>Description</v>
      </c>
      <c r="B2" s="1024" t="str">
        <f>head27</f>
        <v>Ref</v>
      </c>
      <c r="C2" s="24" t="str">
        <f>Head1</f>
        <v>2018/19</v>
      </c>
      <c r="D2" s="231" t="str">
        <f>Head2</f>
        <v>Budget Year 2019/20</v>
      </c>
      <c r="E2" s="229"/>
      <c r="F2" s="229"/>
      <c r="G2" s="229"/>
      <c r="H2" s="229"/>
      <c r="I2" s="229"/>
      <c r="J2" s="229"/>
      <c r="K2" s="230"/>
    </row>
    <row r="3" spans="1:18" ht="25.5" x14ac:dyDescent="0.25">
      <c r="A3" s="1027"/>
      <c r="B3" s="1025"/>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1810164797.24</v>
      </c>
      <c r="E6" s="638">
        <f t="shared" si="0"/>
        <v>1798563515.8799996</v>
      </c>
      <c r="F6" s="638">
        <f t="shared" si="0"/>
        <v>114435863.06</v>
      </c>
      <c r="G6" s="638">
        <f t="shared" si="0"/>
        <v>1661216032.2799997</v>
      </c>
      <c r="H6" s="638">
        <f t="shared" si="0"/>
        <v>1798563515.8799999</v>
      </c>
      <c r="I6" s="47">
        <f t="shared" ref="I6:I13" si="1">G6-H6</f>
        <v>-137347483.60000014</v>
      </c>
      <c r="J6" s="200">
        <f>IF(I6=0,"",I6/H6)</f>
        <v>-7.6365100474530004E-2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502507.03</v>
      </c>
      <c r="G7" s="408">
        <f>'C2C'!G7</f>
        <v>4200007.03</v>
      </c>
      <c r="H7" s="408">
        <f>'C2C'!H7</f>
        <v>4256966.5199999996</v>
      </c>
      <c r="I7" s="47">
        <f t="shared" si="1"/>
        <v>-56959.489999999292</v>
      </c>
      <c r="J7" s="200">
        <f t="shared" ref="J7:J26" si="2">IF(I7=0,"",I7/H7)</f>
        <v>-1.3380300204944835E-2</v>
      </c>
      <c r="K7" s="643">
        <f>'C2C'!K7</f>
        <v>4256966.5199999996</v>
      </c>
      <c r="L7" s="100"/>
      <c r="Q7" s="69"/>
      <c r="R7" s="70"/>
    </row>
    <row r="8" spans="1:18" ht="12.75" customHeight="1" x14ac:dyDescent="0.25">
      <c r="A8" s="416" t="s">
        <v>1136</v>
      </c>
      <c r="B8" s="415"/>
      <c r="C8" s="644">
        <f>'C2C'!C10</f>
        <v>1881355008</v>
      </c>
      <c r="D8" s="672">
        <f>'C2C'!D10</f>
        <v>1805907830.72</v>
      </c>
      <c r="E8" s="673">
        <f>'C2C'!E10</f>
        <v>1794306549.3599997</v>
      </c>
      <c r="F8" s="673">
        <f>'C2C'!F10</f>
        <v>113933356.13</v>
      </c>
      <c r="G8" s="673">
        <f>'C2C'!G10</f>
        <v>1657016025.3499997</v>
      </c>
      <c r="H8" s="673">
        <f>'C2C'!H10</f>
        <v>1794306549.3599999</v>
      </c>
      <c r="I8" s="47">
        <f t="shared" si="1"/>
        <v>-137290524.01000023</v>
      </c>
      <c r="J8" s="200">
        <f t="shared" si="2"/>
        <v>-7.6514530952901852E-2</v>
      </c>
      <c r="K8" s="674">
        <f>'C2C'!K10</f>
        <v>1794306549.3599997</v>
      </c>
      <c r="L8" s="100"/>
      <c r="Q8" s="69"/>
      <c r="R8" s="70"/>
    </row>
    <row r="9" spans="1:18" ht="12.75" customHeight="1" x14ac:dyDescent="0.25">
      <c r="A9" s="416" t="s">
        <v>1147</v>
      </c>
      <c r="B9" s="415"/>
      <c r="C9" s="643">
        <f>'C2C'!C24</f>
        <v>0</v>
      </c>
      <c r="D9" s="671">
        <f>'C2C'!D24</f>
        <v>0</v>
      </c>
      <c r="E9" s="408">
        <f>'C2C'!E24</f>
        <v>0</v>
      </c>
      <c r="F9" s="408">
        <f>'C2C'!F24</f>
        <v>-0.1</v>
      </c>
      <c r="G9" s="408">
        <f>'C2C'!G24</f>
        <v>-0.1</v>
      </c>
      <c r="H9" s="408">
        <f>'C2C'!H24</f>
        <v>0</v>
      </c>
      <c r="I9" s="47">
        <f t="shared" si="1"/>
        <v>-0.1</v>
      </c>
      <c r="J9" s="200" t="e">
        <f t="shared" si="2"/>
        <v>#DIV/0!</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353558391.57999998</v>
      </c>
      <c r="F10" s="638">
        <f t="shared" si="3"/>
        <v>33908610.139999971</v>
      </c>
      <c r="G10" s="638">
        <f t="shared" si="3"/>
        <v>156767726.44000006</v>
      </c>
      <c r="H10" s="638">
        <f t="shared" si="3"/>
        <v>353558391.57999998</v>
      </c>
      <c r="I10" s="47">
        <f t="shared" si="1"/>
        <v>-196790665.13999993</v>
      </c>
      <c r="J10" s="200">
        <f t="shared" si="2"/>
        <v>-0.55660018211015061</v>
      </c>
      <c r="K10" s="642">
        <f>SUM(K11:K15)</f>
        <v>353558391.57999998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26616514.379999999</v>
      </c>
      <c r="G11" s="408">
        <f>'C2C'!G27</f>
        <v>40207806.550000004</v>
      </c>
      <c r="H11" s="408">
        <f>'C2C'!H27</f>
        <v>45902037.060000002</v>
      </c>
      <c r="I11" s="47">
        <f t="shared" si="1"/>
        <v>-5694230.5099999979</v>
      </c>
      <c r="J11" s="200">
        <f t="shared" si="2"/>
        <v>-0.12405180411834206</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11457.27</v>
      </c>
      <c r="G12" s="408">
        <f>'C2C'!G49</f>
        <v>690965.74000000011</v>
      </c>
      <c r="H12" s="408">
        <f>'C2C'!H49</f>
        <v>265177.01999999955</v>
      </c>
      <c r="I12" s="47">
        <f t="shared" si="1"/>
        <v>425788.72000000055</v>
      </c>
      <c r="J12" s="200">
        <f t="shared" si="2"/>
        <v>1.6056772943598252</v>
      </c>
      <c r="K12" s="643">
        <f>'C2C'!K49</f>
        <v>265177.01999999955</v>
      </c>
      <c r="L12" s="100"/>
      <c r="Q12" s="69"/>
      <c r="R12" s="70"/>
    </row>
    <row r="13" spans="1:18" ht="12.75" customHeight="1" x14ac:dyDescent="0.25">
      <c r="A13" s="416" t="s">
        <v>116</v>
      </c>
      <c r="B13" s="415"/>
      <c r="C13" s="643">
        <f>'C2C'!C55</f>
        <v>23856429</v>
      </c>
      <c r="D13" s="671">
        <f>'C2C'!D55</f>
        <v>3606445.4200000004</v>
      </c>
      <c r="E13" s="408">
        <f>'C2C'!E55</f>
        <v>3705445.4200000004</v>
      </c>
      <c r="F13" s="408">
        <f>'C2C'!F55</f>
        <v>4393953.8899999717</v>
      </c>
      <c r="G13" s="408">
        <f>'C2C'!G55</f>
        <v>24098422.920000035</v>
      </c>
      <c r="H13" s="408">
        <f>'C2C'!H55</f>
        <v>3705445.4200000004</v>
      </c>
      <c r="I13" s="47">
        <f t="shared" si="1"/>
        <v>20392977.500000034</v>
      </c>
      <c r="J13" s="200">
        <f t="shared" si="2"/>
        <v>5.5035158229371604</v>
      </c>
      <c r="K13" s="643">
        <f>'C2C'!K55</f>
        <v>3705445.4200000004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2886684.6000000006</v>
      </c>
      <c r="G14" s="408">
        <f>'C2C'!G64</f>
        <v>91770531.230000004</v>
      </c>
      <c r="H14" s="408">
        <f>'C2C'!H64</f>
        <v>303685732.07999998</v>
      </c>
      <c r="I14" s="47">
        <f t="shared" ref="I14:I19" si="4">G14-H14</f>
        <v>-211915200.84999996</v>
      </c>
      <c r="J14" s="200">
        <f t="shared" ref="J14:J19" si="5">IF(I14=0,"",I14/H14)</f>
        <v>-0.69781085663311671</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90761604.24000001</v>
      </c>
      <c r="G16" s="638">
        <f t="shared" si="6"/>
        <v>279313571.32999998</v>
      </c>
      <c r="H16" s="638">
        <f t="shared" si="6"/>
        <v>363699475.93999994</v>
      </c>
      <c r="I16" s="47">
        <f t="shared" si="4"/>
        <v>-84385904.609999955</v>
      </c>
      <c r="J16" s="200">
        <f t="shared" si="5"/>
        <v>-0.23202096838853084</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28839552.140000004</v>
      </c>
      <c r="G17" s="408">
        <f>'C2C'!G76</f>
        <v>33595293.059999995</v>
      </c>
      <c r="H17" s="408">
        <f>'C2C'!H76</f>
        <v>50990433.159999996</v>
      </c>
      <c r="I17" s="47">
        <f t="shared" si="4"/>
        <v>-17395140.100000001</v>
      </c>
      <c r="J17" s="200">
        <f t="shared" si="5"/>
        <v>-0.34114517218194196</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61921555.210000008</v>
      </c>
      <c r="G18" s="408">
        <f>'C2C'!G87</f>
        <v>245674631.38</v>
      </c>
      <c r="H18" s="408">
        <f>'C2C'!H87</f>
        <v>312605361</v>
      </c>
      <c r="I18" s="47">
        <f t="shared" si="4"/>
        <v>-66930729.620000005</v>
      </c>
      <c r="J18" s="200">
        <f t="shared" si="5"/>
        <v>-0.21410614778292303</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496.89</v>
      </c>
      <c r="G19" s="408">
        <f>'C2C'!G92</f>
        <v>43646.89</v>
      </c>
      <c r="H19" s="408">
        <f>'C2C'!H92</f>
        <v>103681.78</v>
      </c>
      <c r="I19" s="47">
        <f t="shared" si="4"/>
        <v>-60034.89</v>
      </c>
      <c r="J19" s="200">
        <f t="shared" si="5"/>
        <v>-0.57903027899405279</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202264874.68000001</v>
      </c>
      <c r="G20" s="638">
        <f t="shared" si="7"/>
        <v>3741544007.6299996</v>
      </c>
      <c r="H20" s="638">
        <f t="shared" si="7"/>
        <v>4027872006.9400001</v>
      </c>
      <c r="I20" s="47">
        <f t="shared" si="7"/>
        <v>-286327999.30999982</v>
      </c>
      <c r="J20" s="200">
        <f t="shared" si="2"/>
        <v>-7.108666780291388E-2</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55610267.989999972</v>
      </c>
      <c r="G21" s="408">
        <f>'C2C'!G100</f>
        <v>2250051829.7699995</v>
      </c>
      <c r="H21" s="408">
        <f>'C2C'!H100</f>
        <v>2477494235.6999993</v>
      </c>
      <c r="I21" s="47">
        <f>G21-H21</f>
        <v>-227442405.92999983</v>
      </c>
      <c r="J21" s="200">
        <f t="shared" si="2"/>
        <v>-9.1803404687130385E-2</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94893425.670000017</v>
      </c>
      <c r="G22" s="408">
        <f>'C2C'!G104</f>
        <v>1089707611.8400002</v>
      </c>
      <c r="H22" s="408">
        <f>'C2C'!H104</f>
        <v>1155973775.8300002</v>
      </c>
      <c r="I22" s="47">
        <f>G22-H22</f>
        <v>-66266163.99000001</v>
      </c>
      <c r="J22" s="200">
        <f t="shared" si="2"/>
        <v>-5.7324971703982014E-2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41453400.719999999</v>
      </c>
      <c r="G23" s="673">
        <f>'C2C'!G108</f>
        <v>260767633.63000003</v>
      </c>
      <c r="H23" s="673">
        <f>'C2C'!H108</f>
        <v>223550820.81999999</v>
      </c>
      <c r="I23" s="47">
        <f>G23-H23</f>
        <v>37216812.810000032</v>
      </c>
      <c r="J23" s="200">
        <f t="shared" si="2"/>
        <v>0.16648032278962863</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10307780.299999997</v>
      </c>
      <c r="G24" s="408">
        <f>'C2C'!G113</f>
        <v>141016932.38999999</v>
      </c>
      <c r="H24" s="408">
        <f>'C2C'!H113</f>
        <v>170853174.58999997</v>
      </c>
      <c r="I24" s="47">
        <f>G24-H24</f>
        <v>-29836242.199999988</v>
      </c>
      <c r="J24" s="200">
        <f t="shared" si="2"/>
        <v>-0.1746308915336145</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4059835.8399999985</v>
      </c>
      <c r="G25" s="638">
        <f>'C2C'!G118</f>
        <v>33368772.930000003</v>
      </c>
      <c r="H25" s="638">
        <f>'C2C'!H118</f>
        <v>58902383.160000011</v>
      </c>
      <c r="I25" s="102">
        <f>G25-H25</f>
        <v>-25533610.230000008</v>
      </c>
      <c r="J25" s="714">
        <f t="shared" si="2"/>
        <v>-0.43349027424988151</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6351937471.4078579</v>
      </c>
      <c r="E26" s="546">
        <f t="shared" si="8"/>
        <v>6602595773.5</v>
      </c>
      <c r="F26" s="546">
        <f t="shared" si="8"/>
        <v>445430787.95999998</v>
      </c>
      <c r="G26" s="546">
        <f t="shared" si="8"/>
        <v>5872210110.6099997</v>
      </c>
      <c r="H26" s="546">
        <f t="shared" si="8"/>
        <v>6602595773.5</v>
      </c>
      <c r="I26" s="546">
        <f t="shared" si="8"/>
        <v>-730385662.88999987</v>
      </c>
      <c r="J26" s="600">
        <f t="shared" si="2"/>
        <v>-0.11062098725193144</v>
      </c>
      <c r="K26" s="598">
        <f>K6+K10+K16+K20+K25</f>
        <v>6602595773.5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1417089009.8287084</v>
      </c>
      <c r="E29" s="638">
        <f t="shared" si="9"/>
        <v>1363591242.0299995</v>
      </c>
      <c r="F29" s="638">
        <f t="shared" si="9"/>
        <v>42125663.240000039</v>
      </c>
      <c r="G29" s="638">
        <f t="shared" si="9"/>
        <v>867492745.02999997</v>
      </c>
      <c r="H29" s="638">
        <f t="shared" si="9"/>
        <v>1363591242.0299995</v>
      </c>
      <c r="I29" s="47">
        <f t="shared" ref="I29:I48" si="10">G29-H29</f>
        <v>-496098496.99999952</v>
      </c>
      <c r="J29" s="200">
        <f>IF(I29=0,"",I29/H29)</f>
        <v>-0.36381760289208809</v>
      </c>
      <c r="K29" s="642">
        <f>SUM(K30:K32)</f>
        <v>1363591242.0299995</v>
      </c>
      <c r="L29" s="100"/>
      <c r="Q29" s="69"/>
    </row>
    <row r="30" spans="1:18" ht="12.75" customHeight="1" x14ac:dyDescent="0.25">
      <c r="A30" s="416" t="s">
        <v>112</v>
      </c>
      <c r="B30" s="428"/>
      <c r="C30" s="643">
        <f>'C2C'!C129</f>
        <v>157678062.53999999</v>
      </c>
      <c r="D30" s="671">
        <f>'C2C'!D129</f>
        <v>189360836.78000003</v>
      </c>
      <c r="E30" s="408">
        <f>'C2C'!E129</f>
        <v>181807088.15000004</v>
      </c>
      <c r="F30" s="408">
        <f>'C2C'!F129</f>
        <v>8701221.6200000029</v>
      </c>
      <c r="G30" s="408">
        <f>'C2C'!G129</f>
        <v>120571796.67000002</v>
      </c>
      <c r="H30" s="408">
        <f>'C2C'!H129</f>
        <v>181807088.15000004</v>
      </c>
      <c r="I30" s="47">
        <f t="shared" si="10"/>
        <v>-61235291.480000019</v>
      </c>
      <c r="J30" s="200">
        <f t="shared" ref="J30:J49" si="11">IF(I30=0,"",I30/H30)</f>
        <v>-0.33681465394505306</v>
      </c>
      <c r="K30" s="643">
        <f>'C2C'!K129</f>
        <v>181807088.15000004</v>
      </c>
      <c r="L30" s="100"/>
      <c r="Q30" s="69"/>
    </row>
    <row r="31" spans="1:18" ht="12.75" customHeight="1" x14ac:dyDescent="0.25">
      <c r="A31" s="416" t="s">
        <v>1136</v>
      </c>
      <c r="B31" s="428"/>
      <c r="C31" s="644">
        <f>'C2C'!C132</f>
        <v>1407041307.4400001</v>
      </c>
      <c r="D31" s="672">
        <f>'C2C'!D132</f>
        <v>1213645200.0587084</v>
      </c>
      <c r="E31" s="673">
        <f>'C2C'!E132</f>
        <v>1159737793.0099995</v>
      </c>
      <c r="F31" s="673">
        <f>'C2C'!F132</f>
        <v>27296755.170000032</v>
      </c>
      <c r="G31" s="673">
        <f>'C2C'!G132</f>
        <v>728290999.65999997</v>
      </c>
      <c r="H31" s="673">
        <f>'C2C'!H132</f>
        <v>1159737793.0099995</v>
      </c>
      <c r="I31" s="47">
        <f t="shared" si="10"/>
        <v>-431446793.34999955</v>
      </c>
      <c r="J31" s="200">
        <f t="shared" si="11"/>
        <v>-0.37202098263109679</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6127686.4500000011</v>
      </c>
      <c r="G32" s="408">
        <f>'C2C'!G146</f>
        <v>18629948.699999996</v>
      </c>
      <c r="H32" s="408">
        <f>'C2C'!H146</f>
        <v>22046360.869999997</v>
      </c>
      <c r="I32" s="47">
        <f t="shared" si="10"/>
        <v>-3416412.1700000018</v>
      </c>
      <c r="J32" s="200">
        <f t="shared" si="11"/>
        <v>-0.1549649028311493</v>
      </c>
      <c r="K32" s="643">
        <f>'C2C'!K146</f>
        <v>22046360.869999997</v>
      </c>
      <c r="L32" s="100"/>
      <c r="Q32" s="69"/>
    </row>
    <row r="33" spans="1:17" ht="12.75" customHeight="1" x14ac:dyDescent="0.25">
      <c r="A33" s="414" t="s">
        <v>113</v>
      </c>
      <c r="B33" s="428"/>
      <c r="C33" s="642">
        <f t="shared" ref="C33:H33" si="12">SUM(C34:C38)</f>
        <v>527521416.53999996</v>
      </c>
      <c r="D33" s="670">
        <f t="shared" si="12"/>
        <v>520692886.04000002</v>
      </c>
      <c r="E33" s="638">
        <f t="shared" si="12"/>
        <v>537217388.96000004</v>
      </c>
      <c r="F33" s="638">
        <f t="shared" si="12"/>
        <v>33612808.109999903</v>
      </c>
      <c r="G33" s="638">
        <f t="shared" si="12"/>
        <v>474410591.22000122</v>
      </c>
      <c r="H33" s="638">
        <f t="shared" si="12"/>
        <v>537217388.96000004</v>
      </c>
      <c r="I33" s="47">
        <f t="shared" si="10"/>
        <v>-62806797.739998817</v>
      </c>
      <c r="J33" s="200">
        <f t="shared" si="11"/>
        <v>-0.11691132683099963</v>
      </c>
      <c r="K33" s="642">
        <f>SUM(K34:K38)</f>
        <v>537217388.96000004</v>
      </c>
      <c r="L33" s="100"/>
      <c r="Q33" s="69"/>
    </row>
    <row r="34" spans="1:17" ht="12.75" customHeight="1" x14ac:dyDescent="0.25">
      <c r="A34" s="416" t="s">
        <v>114</v>
      </c>
      <c r="B34" s="428"/>
      <c r="C34" s="643">
        <f>'C2C'!C149</f>
        <v>114264920.00000001</v>
      </c>
      <c r="D34" s="671">
        <f>'C2C'!D149</f>
        <v>115536350.22</v>
      </c>
      <c r="E34" s="408">
        <f>'C2C'!E149</f>
        <v>114956798.07999998</v>
      </c>
      <c r="F34" s="408">
        <f>'C2C'!F149</f>
        <v>9307483.3499999922</v>
      </c>
      <c r="G34" s="408">
        <f>'C2C'!G149</f>
        <v>113395838.56000003</v>
      </c>
      <c r="H34" s="408">
        <f>'C2C'!H149</f>
        <v>114956798.07999998</v>
      </c>
      <c r="I34" s="47">
        <f t="shared" si="10"/>
        <v>-1560959.5199999511</v>
      </c>
      <c r="J34" s="200">
        <f t="shared" si="11"/>
        <v>-1.3578662124128216E-2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5540163.1400000006</v>
      </c>
      <c r="G35" s="408">
        <f>'C2C'!G171</f>
        <v>117467640.67000005</v>
      </c>
      <c r="H35" s="408">
        <f>'C2C'!H171</f>
        <v>122689581.57000002</v>
      </c>
      <c r="I35" s="47">
        <f t="shared" si="10"/>
        <v>-5221940.8999999762</v>
      </c>
      <c r="J35" s="200">
        <f t="shared" si="11"/>
        <v>-4.2562219490663272E-2</v>
      </c>
      <c r="K35" s="643">
        <f>'C2C'!K171</f>
        <v>122689581.57000002</v>
      </c>
      <c r="L35" s="100"/>
      <c r="Q35" s="69"/>
    </row>
    <row r="36" spans="1:17" ht="12.75" customHeight="1" x14ac:dyDescent="0.25">
      <c r="A36" s="416" t="s">
        <v>116</v>
      </c>
      <c r="B36" s="426"/>
      <c r="C36" s="643">
        <f>'C2C'!C177</f>
        <v>170573214.72</v>
      </c>
      <c r="D36" s="671">
        <f>'C2C'!D177</f>
        <v>180293582.25999999</v>
      </c>
      <c r="E36" s="408">
        <f>'C2C'!E177</f>
        <v>183547611.95000002</v>
      </c>
      <c r="F36" s="408">
        <f>'C2C'!F177</f>
        <v>15719034.35999991</v>
      </c>
      <c r="G36" s="408">
        <f>'C2C'!G177</f>
        <v>192536136.43000114</v>
      </c>
      <c r="H36" s="408">
        <f>'C2C'!H177</f>
        <v>183547611.95000002</v>
      </c>
      <c r="I36" s="47">
        <f t="shared" si="10"/>
        <v>8988524.4800011218</v>
      </c>
      <c r="J36" s="200">
        <f t="shared" si="11"/>
        <v>4.8971078318630887E-2</v>
      </c>
      <c r="K36" s="643">
        <f>'C2C'!K177</f>
        <v>183547611.95000002</v>
      </c>
      <c r="L36" s="100"/>
      <c r="Q36" s="70"/>
    </row>
    <row r="37" spans="1:17" ht="12.75" customHeight="1" x14ac:dyDescent="0.25">
      <c r="A37" s="416" t="s">
        <v>720</v>
      </c>
      <c r="B37" s="426"/>
      <c r="C37" s="643">
        <f>'C2C'!C186</f>
        <v>120625836</v>
      </c>
      <c r="D37" s="671">
        <f>'C2C'!D186</f>
        <v>98864970.179999977</v>
      </c>
      <c r="E37" s="408">
        <f>'C2C'!E186</f>
        <v>115817824.73</v>
      </c>
      <c r="F37" s="408">
        <f>'C2C'!F186</f>
        <v>2609125.7199999988</v>
      </c>
      <c r="G37" s="408">
        <f>'C2C'!G186</f>
        <v>45541740.019999988</v>
      </c>
      <c r="H37" s="408">
        <f>'C2C'!H186</f>
        <v>115817824.73</v>
      </c>
      <c r="I37" s="47">
        <f t="shared" si="10"/>
        <v>-70276084.710000008</v>
      </c>
      <c r="J37" s="200">
        <f t="shared" si="11"/>
        <v>-0.60678125214172296</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437001.5400000001</v>
      </c>
      <c r="G38" s="673">
        <f>'C2C'!G189</f>
        <v>5469235.5399999982</v>
      </c>
      <c r="H38" s="673">
        <f>'C2C'!H189</f>
        <v>205572.62999999998</v>
      </c>
      <c r="I38" s="47">
        <f t="shared" si="10"/>
        <v>5263662.9099999983</v>
      </c>
      <c r="J38" s="200">
        <f t="shared" si="11"/>
        <v>25.604881885297662</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20469432.219999991</v>
      </c>
      <c r="G39" s="638">
        <f t="shared" si="13"/>
        <v>332394505.92000002</v>
      </c>
      <c r="H39" s="638">
        <f t="shared" si="13"/>
        <v>246245191.74999994</v>
      </c>
      <c r="I39" s="47">
        <f t="shared" si="10"/>
        <v>86149314.170000076</v>
      </c>
      <c r="J39" s="200">
        <f t="shared" si="11"/>
        <v>0.34985176180602556</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20742122.109999992</v>
      </c>
      <c r="G40" s="408">
        <f>'C2C'!G198</f>
        <v>83432685.730000019</v>
      </c>
      <c r="H40" s="408">
        <f>'C2C'!H198</f>
        <v>83300729.209999964</v>
      </c>
      <c r="I40" s="47">
        <f t="shared" si="10"/>
        <v>131956.52000005543</v>
      </c>
      <c r="J40" s="200">
        <f t="shared" si="11"/>
        <v>1.584098017526292E-3</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-2101139.629999998</v>
      </c>
      <c r="G41" s="408">
        <f>'C2C'!G209</f>
        <v>228573128.04000002</v>
      </c>
      <c r="H41" s="408">
        <f>'C2C'!H209</f>
        <v>145687800.29999995</v>
      </c>
      <c r="I41" s="47">
        <f t="shared" si="10"/>
        <v>82885327.740000069</v>
      </c>
      <c r="J41" s="200">
        <f t="shared" si="11"/>
        <v>0.56892428583122823</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1828449.74</v>
      </c>
      <c r="G42" s="408">
        <f>'C2C'!G214</f>
        <v>20388692.149999999</v>
      </c>
      <c r="H42" s="408">
        <f>'C2C'!H214</f>
        <v>17256662.239999998</v>
      </c>
      <c r="I42" s="47">
        <f t="shared" si="10"/>
        <v>3132029.91</v>
      </c>
      <c r="J42" s="200">
        <f t="shared" si="11"/>
        <v>0.1814968541680167</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263884760.57000005</v>
      </c>
      <c r="G43" s="638">
        <f t="shared" si="14"/>
        <v>3319269122.9999995</v>
      </c>
      <c r="H43" s="638">
        <f t="shared" si="14"/>
        <v>3324833832.5200005</v>
      </c>
      <c r="I43" s="47">
        <f t="shared" si="14"/>
        <v>-5564709.5200019926</v>
      </c>
      <c r="J43" s="200">
        <f t="shared" si="11"/>
        <v>-1.6736804906079524E-3</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102053406.09000009</v>
      </c>
      <c r="G44" s="408">
        <f>'C2C'!G222</f>
        <v>2024037236.279999</v>
      </c>
      <c r="H44" s="408">
        <f>'C2C'!H222</f>
        <v>2012098959.1500003</v>
      </c>
      <c r="I44" s="47">
        <f t="shared" si="10"/>
        <v>11938277.129998684</v>
      </c>
      <c r="J44" s="200">
        <f t="shared" si="11"/>
        <v>5.9332455174281986E-3</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84767004.510000005</v>
      </c>
      <c r="G45" s="408">
        <f>'C2C'!G226</f>
        <v>916954818.55999994</v>
      </c>
      <c r="H45" s="408">
        <f>'C2C'!H226</f>
        <v>901141267.64000058</v>
      </c>
      <c r="I45" s="47">
        <f t="shared" si="10"/>
        <v>15813550.919999361</v>
      </c>
      <c r="J45" s="200">
        <f t="shared" si="11"/>
        <v>1.7548359494636706E-2</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61164870.329999983</v>
      </c>
      <c r="G46" s="673">
        <f>'C2C'!G230</f>
        <v>259410583.79999998</v>
      </c>
      <c r="H46" s="673">
        <f>'C2C'!H230</f>
        <v>290155578.20000005</v>
      </c>
      <c r="I46" s="47">
        <f t="shared" si="10"/>
        <v>-30744994.400000066</v>
      </c>
      <c r="J46" s="200">
        <f t="shared" si="11"/>
        <v>-0.10596037681139456</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15899479.639999999</v>
      </c>
      <c r="G47" s="408">
        <f>'C2C'!G235</f>
        <v>118866484.35999997</v>
      </c>
      <c r="H47" s="408">
        <f>'C2C'!H235</f>
        <v>121438027.52999994</v>
      </c>
      <c r="I47" s="47">
        <f t="shared" si="10"/>
        <v>-2571543.169999972</v>
      </c>
      <c r="J47" s="200">
        <f t="shared" si="11"/>
        <v>-2.1175765304362344E-2</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1544010.4</v>
      </c>
      <c r="G48" s="638">
        <f>'C2C'!G240</f>
        <v>55024336.379999995</v>
      </c>
      <c r="H48" s="638">
        <f>'C2C'!H240</f>
        <v>68177155</v>
      </c>
      <c r="I48" s="102">
        <f t="shared" si="10"/>
        <v>-13152818.620000005</v>
      </c>
      <c r="J48" s="714">
        <f t="shared" si="11"/>
        <v>-0.19292120095067042</v>
      </c>
      <c r="K48" s="642">
        <f>'C2C'!K240</f>
        <v>68177155</v>
      </c>
      <c r="L48" s="100"/>
      <c r="Q48" s="70"/>
    </row>
    <row r="49" spans="1:17" ht="12.75" customHeight="1" x14ac:dyDescent="0.25">
      <c r="A49" s="92" t="s">
        <v>1222</v>
      </c>
      <c r="B49" s="422">
        <v>3</v>
      </c>
      <c r="C49" s="601">
        <f>C29+C33+C39+C43+C48</f>
        <v>5545120282.000001</v>
      </c>
      <c r="D49" s="599">
        <f t="shared" ref="D49:I49" si="15">D29+D33+D39+D43+D48</f>
        <v>5636479723.2493496</v>
      </c>
      <c r="E49" s="546">
        <f t="shared" si="15"/>
        <v>5540064810.2600002</v>
      </c>
      <c r="F49" s="546">
        <f t="shared" si="15"/>
        <v>361636674.53999996</v>
      </c>
      <c r="G49" s="546">
        <f t="shared" si="15"/>
        <v>5048591301.5500011</v>
      </c>
      <c r="H49" s="546">
        <f t="shared" si="15"/>
        <v>5540064810.2600002</v>
      </c>
      <c r="I49" s="546">
        <f t="shared" si="15"/>
        <v>-491473508.71000028</v>
      </c>
      <c r="J49" s="600">
        <f t="shared" si="11"/>
        <v>-8.8712591917662967E-2</v>
      </c>
      <c r="K49" s="721">
        <f>K29+K33+K39+K43+K48</f>
        <v>5540064810.2600002</v>
      </c>
      <c r="L49" s="100"/>
      <c r="Q49" s="75"/>
    </row>
    <row r="50" spans="1:17" ht="12.75" customHeight="1" x14ac:dyDescent="0.25">
      <c r="A50" s="94" t="s">
        <v>905</v>
      </c>
      <c r="B50" s="429"/>
      <c r="C50" s="541">
        <f t="shared" ref="C50:H50" si="16">C26-C49</f>
        <v>553128996.99999905</v>
      </c>
      <c r="D50" s="641">
        <f t="shared" si="16"/>
        <v>715457748.1585083</v>
      </c>
      <c r="E50" s="635">
        <f t="shared" si="16"/>
        <v>1062530963.2399998</v>
      </c>
      <c r="F50" s="635">
        <f t="shared" si="16"/>
        <v>83794113.420000017</v>
      </c>
      <c r="G50" s="635">
        <f t="shared" si="16"/>
        <v>823618809.05999851</v>
      </c>
      <c r="H50" s="635">
        <f t="shared" si="16"/>
        <v>1062530963.2399998</v>
      </c>
      <c r="I50" s="635">
        <f>I26-I49</f>
        <v>-238912154.17999959</v>
      </c>
      <c r="J50" s="639">
        <f>IF(I50=0,"",I50/H50)</f>
        <v>-0.22485194544493964</v>
      </c>
      <c r="K50" s="640">
        <f>K26-K49</f>
        <v>1062530963.2399998</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29" t="s">
        <v>1225</v>
      </c>
      <c r="B55" s="1029"/>
      <c r="C55" s="1029"/>
      <c r="D55" s="1029"/>
      <c r="E55" s="1029"/>
      <c r="F55" s="1029"/>
      <c r="G55" s="1029"/>
      <c r="H55" s="1029"/>
      <c r="I55" s="1029"/>
      <c r="J55" s="1029"/>
      <c r="K55" s="1029"/>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56" activePane="bottomRight" state="frozen"/>
      <selection pane="topRight"/>
      <selection pane="bottomLeft"/>
      <selection pane="bottomRight" activeCell="I262" sqref="I262"/>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8" t="str">
        <f>muni&amp; " - "&amp;S71A&amp; " - "&amp;date</f>
        <v>KZN225 Msunduzi - Table C2 Consolidated Monthly Budget Statement - Financial Performance (functional classification)  - Q4 Fourth Quarter</v>
      </c>
      <c r="B1" s="1028"/>
      <c r="C1" s="1028"/>
      <c r="D1" s="1028"/>
      <c r="E1" s="1028"/>
      <c r="F1" s="1028"/>
      <c r="G1" s="1028"/>
      <c r="H1" s="1028"/>
      <c r="I1" s="1028"/>
      <c r="J1" s="1028"/>
      <c r="K1" s="1028"/>
    </row>
    <row r="2" spans="1:12" ht="13.5" customHeight="1" x14ac:dyDescent="0.25">
      <c r="A2" s="1026" t="str">
        <f>desc</f>
        <v>Description</v>
      </c>
      <c r="B2" s="1024" t="str">
        <f>head27</f>
        <v>Ref</v>
      </c>
      <c r="C2" s="24" t="str">
        <f>Head1</f>
        <v>2018/19</v>
      </c>
      <c r="D2" s="231" t="str">
        <f>Head2</f>
        <v>Budget Year 2019/20</v>
      </c>
      <c r="E2" s="229"/>
      <c r="F2" s="229"/>
      <c r="G2" s="229"/>
      <c r="H2" s="229"/>
      <c r="I2" s="229"/>
      <c r="J2" s="229"/>
      <c r="K2" s="230"/>
    </row>
    <row r="3" spans="1:12" ht="25.5" x14ac:dyDescent="0.25">
      <c r="A3" s="1027"/>
      <c r="B3" s="1025"/>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1810164797.24</v>
      </c>
      <c r="E6" s="606">
        <f t="shared" si="0"/>
        <v>1798563515.8799996</v>
      </c>
      <c r="F6" s="606">
        <f t="shared" si="0"/>
        <v>114435863.06</v>
      </c>
      <c r="G6" s="606">
        <f t="shared" si="0"/>
        <v>1661216032.2799997</v>
      </c>
      <c r="H6" s="606">
        <f t="shared" si="0"/>
        <v>1798563515.8799999</v>
      </c>
      <c r="I6" s="633">
        <f>G6-H6</f>
        <v>-137347483.60000014</v>
      </c>
      <c r="J6" s="634">
        <f>IF(I6=0,"",I6/H6)</f>
        <v>-7.6365100474530004E-2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502507.03</v>
      </c>
      <c r="G7" s="609">
        <f t="shared" si="1"/>
        <v>4200007.03</v>
      </c>
      <c r="H7" s="609">
        <f t="shared" si="1"/>
        <v>4256966.5199999996</v>
      </c>
      <c r="I7" s="609">
        <f t="shared" ref="I7:I123" si="2">G7-H7</f>
        <v>-56959.489999999292</v>
      </c>
      <c r="J7" s="609">
        <f t="shared" ref="J7:J123" si="3">IF(I7=0,"",I7/H7)</f>
        <v>-1.3380300204944835E-2</v>
      </c>
      <c r="K7" s="611">
        <f t="shared" si="1"/>
        <v>4256966.5199999996</v>
      </c>
      <c r="L7" s="100"/>
    </row>
    <row r="8" spans="1:12" x14ac:dyDescent="0.25">
      <c r="A8" s="696" t="s">
        <v>166</v>
      </c>
      <c r="B8" s="415"/>
      <c r="C8" s="734"/>
      <c r="D8" s="734"/>
      <c r="E8" s="734"/>
      <c r="F8" s="734">
        <v>-129027.70999999999</v>
      </c>
      <c r="G8" s="734">
        <v>-129027.70999999999</v>
      </c>
      <c r="H8" s="734"/>
      <c r="I8" s="408">
        <f t="shared" si="2"/>
        <v>-129027.70999999999</v>
      </c>
      <c r="J8" s="408" t="e">
        <f t="shared" si="3"/>
        <v>#DIV/0!</v>
      </c>
      <c r="K8" s="736"/>
      <c r="L8" s="100"/>
    </row>
    <row r="9" spans="1:12" ht="22.5" x14ac:dyDescent="0.25">
      <c r="A9" s="696" t="s">
        <v>1135</v>
      </c>
      <c r="B9" s="415"/>
      <c r="C9" s="734">
        <v>3096549</v>
      </c>
      <c r="D9" s="734">
        <v>4256966.5199999996</v>
      </c>
      <c r="E9" s="734">
        <v>4256966.5199999996</v>
      </c>
      <c r="F9" s="734">
        <v>631534.74</v>
      </c>
      <c r="G9" s="734">
        <v>4329034.74</v>
      </c>
      <c r="H9" s="734">
        <f>E9/12*12</f>
        <v>4256966.5199999996</v>
      </c>
      <c r="I9" s="408">
        <f t="shared" si="2"/>
        <v>72068.220000000671</v>
      </c>
      <c r="J9" s="408">
        <f t="shared" si="3"/>
        <v>1.692947775403239E-2</v>
      </c>
      <c r="K9" s="736">
        <f>E9</f>
        <v>4256966.5199999996</v>
      </c>
      <c r="L9" s="100"/>
    </row>
    <row r="10" spans="1:12" x14ac:dyDescent="0.25">
      <c r="A10" s="608" t="s">
        <v>1136</v>
      </c>
      <c r="B10" s="415"/>
      <c r="C10" s="609">
        <f t="shared" ref="C10:H10" si="4">SUM(C11:C23)</f>
        <v>1881355008</v>
      </c>
      <c r="D10" s="609">
        <f t="shared" si="4"/>
        <v>1805907830.72</v>
      </c>
      <c r="E10" s="609">
        <f t="shared" si="4"/>
        <v>1794306549.3599997</v>
      </c>
      <c r="F10" s="609">
        <f t="shared" si="4"/>
        <v>113933356.13</v>
      </c>
      <c r="G10" s="609">
        <f t="shared" si="4"/>
        <v>1657016025.3499997</v>
      </c>
      <c r="H10" s="609">
        <f t="shared" si="4"/>
        <v>1794306549.3599999</v>
      </c>
      <c r="I10" s="609">
        <f t="shared" ref="I10:I15" si="5">G10-H10</f>
        <v>-137290524.01000023</v>
      </c>
      <c r="J10" s="609">
        <f t="shared" ref="J10:J15" si="6">IF(I10=0,"",I10/H10)</f>
        <v>-7.6514530952901852E-2</v>
      </c>
      <c r="K10" s="609">
        <f>SUM(K11:K23)</f>
        <v>1794306549.3599997</v>
      </c>
      <c r="L10" s="100"/>
    </row>
    <row r="11" spans="1:12" x14ac:dyDescent="0.25">
      <c r="A11" s="696" t="s">
        <v>1137</v>
      </c>
      <c r="B11" s="415"/>
      <c r="C11" s="734">
        <v>380</v>
      </c>
      <c r="D11" s="734"/>
      <c r="E11" s="734"/>
      <c r="F11" s="734">
        <v>13.07</v>
      </c>
      <c r="G11" s="734">
        <v>13.07</v>
      </c>
      <c r="H11" s="734"/>
      <c r="I11" s="408">
        <f t="shared" si="5"/>
        <v>13.07</v>
      </c>
      <c r="J11" s="408" t="e">
        <f t="shared" si="6"/>
        <v>#DIV/0!</v>
      </c>
      <c r="K11" s="736"/>
      <c r="L11" s="100"/>
    </row>
    <row r="12" spans="1:12" x14ac:dyDescent="0.25">
      <c r="A12" s="696" t="s">
        <v>1138</v>
      </c>
      <c r="B12" s="415"/>
      <c r="C12" s="734">
        <v>280027</v>
      </c>
      <c r="D12" s="734">
        <v>10640040.439999999</v>
      </c>
      <c r="E12" s="734">
        <v>365384.11999999918</v>
      </c>
      <c r="F12" s="734">
        <v>87.82</v>
      </c>
      <c r="G12" s="734">
        <v>1353030.63</v>
      </c>
      <c r="H12" s="734">
        <f t="shared" ref="H12:H13" si="7">E12/12*12</f>
        <v>365384.11999999918</v>
      </c>
      <c r="I12" s="408">
        <f t="shared" si="5"/>
        <v>987646.51000000071</v>
      </c>
      <c r="J12" s="408">
        <f t="shared" si="6"/>
        <v>2.7030362184322705</v>
      </c>
      <c r="K12" s="736">
        <f>E12</f>
        <v>365384.11999999918</v>
      </c>
      <c r="L12" s="100"/>
    </row>
    <row r="13" spans="1:12" x14ac:dyDescent="0.25">
      <c r="A13" s="696" t="s">
        <v>1139</v>
      </c>
      <c r="B13" s="415"/>
      <c r="C13" s="734">
        <v>1834465983</v>
      </c>
      <c r="D13" s="734">
        <v>1762302546</v>
      </c>
      <c r="E13" s="734">
        <v>1772478202.9399998</v>
      </c>
      <c r="F13" s="734">
        <v>102115591.56999999</v>
      </c>
      <c r="G13" s="734">
        <v>1606767378.6499999</v>
      </c>
      <c r="H13" s="734">
        <f t="shared" si="7"/>
        <v>1772478202.9400001</v>
      </c>
      <c r="I13" s="408">
        <f t="shared" si="5"/>
        <v>-165710824.2900002</v>
      </c>
      <c r="J13" s="408">
        <f t="shared" si="6"/>
        <v>-9.3491036456830073E-2</v>
      </c>
      <c r="K13" s="736">
        <f>E13</f>
        <v>1772478202.9399998</v>
      </c>
      <c r="L13" s="100"/>
    </row>
    <row r="14" spans="1:12" x14ac:dyDescent="0.25">
      <c r="A14" s="696" t="s">
        <v>1140</v>
      </c>
      <c r="B14" s="415"/>
      <c r="C14" s="734"/>
      <c r="D14" s="734"/>
      <c r="E14" s="734"/>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2711035.92</v>
      </c>
      <c r="G15" s="734">
        <v>9702254.1999999993</v>
      </c>
      <c r="H15" s="734">
        <f t="shared" ref="H15:H17" si="8">E15/12*12</f>
        <v>8591554.0199999996</v>
      </c>
      <c r="I15" s="408">
        <f t="shared" si="5"/>
        <v>1110700.1799999997</v>
      </c>
      <c r="J15" s="408">
        <f t="shared" si="6"/>
        <v>0.12927814658610501</v>
      </c>
      <c r="K15" s="736">
        <f>E15</f>
        <v>8591554.0199999996</v>
      </c>
      <c r="L15" s="100"/>
    </row>
    <row r="16" spans="1:12" x14ac:dyDescent="0.25">
      <c r="A16" s="696" t="s">
        <v>168</v>
      </c>
      <c r="B16" s="415"/>
      <c r="C16" s="734">
        <v>11858</v>
      </c>
      <c r="D16" s="734">
        <v>1929.2</v>
      </c>
      <c r="E16" s="734">
        <v>1929.2</v>
      </c>
      <c r="F16" s="734">
        <v>9.19</v>
      </c>
      <c r="G16" s="734">
        <v>426.55000000000007</v>
      </c>
      <c r="H16" s="734">
        <f t="shared" si="8"/>
        <v>1929.2000000000003</v>
      </c>
      <c r="I16" s="408">
        <f t="shared" ref="I16:I23" si="9">G16-H16</f>
        <v>-1502.65</v>
      </c>
      <c r="J16" s="408">
        <f t="shared" ref="J16:J23" si="10">IF(I16=0,"",I16/H16)</f>
        <v>-0.77889798880364913</v>
      </c>
      <c r="K16" s="736">
        <f>E16</f>
        <v>1929.2</v>
      </c>
      <c r="L16" s="100"/>
    </row>
    <row r="17" spans="1:12" x14ac:dyDescent="0.25">
      <c r="A17" s="696" t="s">
        <v>1141</v>
      </c>
      <c r="B17" s="415"/>
      <c r="C17" s="734">
        <v>9395</v>
      </c>
      <c r="D17" s="734">
        <v>246034.48</v>
      </c>
      <c r="E17" s="734">
        <v>246034.48</v>
      </c>
      <c r="F17" s="734">
        <v>-5.83</v>
      </c>
      <c r="G17" s="734">
        <v>107.57000000000001</v>
      </c>
      <c r="H17" s="734">
        <f t="shared" si="8"/>
        <v>246034.47999999998</v>
      </c>
      <c r="I17" s="408">
        <f t="shared" si="9"/>
        <v>-245926.90999999997</v>
      </c>
      <c r="J17" s="408">
        <f t="shared" si="10"/>
        <v>-0.99956278485844741</v>
      </c>
      <c r="K17" s="736">
        <f>E17</f>
        <v>246034.48</v>
      </c>
      <c r="L17" s="100"/>
    </row>
    <row r="18" spans="1:12" ht="22.5" x14ac:dyDescent="0.25">
      <c r="A18" s="696" t="s">
        <v>1142</v>
      </c>
      <c r="B18" s="415"/>
      <c r="C18" s="734"/>
      <c r="D18" s="734"/>
      <c r="E18" s="734"/>
      <c r="F18" s="734">
        <v>-0.96</v>
      </c>
      <c r="G18" s="734">
        <v>-0.96</v>
      </c>
      <c r="H18" s="734"/>
      <c r="I18" s="408">
        <f t="shared" si="9"/>
        <v>-0.96</v>
      </c>
      <c r="J18" s="408" t="e">
        <f t="shared" si="10"/>
        <v>#DIV/0!</v>
      </c>
      <c r="K18" s="736"/>
      <c r="L18" s="100"/>
    </row>
    <row r="19" spans="1:12" x14ac:dyDescent="0.25">
      <c r="A19" s="696" t="s">
        <v>169</v>
      </c>
      <c r="B19" s="415"/>
      <c r="C19" s="734">
        <v>21864521</v>
      </c>
      <c r="D19" s="734">
        <v>12355263.540000001</v>
      </c>
      <c r="E19" s="734">
        <v>12355263.540000001</v>
      </c>
      <c r="F19" s="734">
        <v>9101991.2399999984</v>
      </c>
      <c r="G19" s="734">
        <v>39113095.56999997</v>
      </c>
      <c r="H19" s="734">
        <f>E19/12*12</f>
        <v>12355263.540000001</v>
      </c>
      <c r="I19" s="408">
        <f t="shared" si="9"/>
        <v>26757832.029999971</v>
      </c>
      <c r="J19" s="408">
        <f t="shared" si="10"/>
        <v>2.1657030579211725</v>
      </c>
      <c r="K19" s="736">
        <f>E19</f>
        <v>12355263.540000001</v>
      </c>
      <c r="L19" s="100"/>
    </row>
    <row r="20" spans="1:12" x14ac:dyDescent="0.25">
      <c r="A20" s="696" t="s">
        <v>1143</v>
      </c>
      <c r="B20" s="415"/>
      <c r="C20" s="734"/>
      <c r="D20" s="734"/>
      <c r="E20" s="734"/>
      <c r="F20" s="734"/>
      <c r="G20" s="734"/>
      <c r="H20" s="734"/>
      <c r="I20" s="408">
        <f t="shared" si="9"/>
        <v>0</v>
      </c>
      <c r="J20" s="408" t="str">
        <f t="shared" si="10"/>
        <v/>
      </c>
      <c r="K20" s="736"/>
      <c r="L20" s="100"/>
    </row>
    <row r="21" spans="1:12" x14ac:dyDescent="0.25">
      <c r="A21" s="696" t="s">
        <v>1144</v>
      </c>
      <c r="B21" s="415"/>
      <c r="C21" s="734">
        <v>138</v>
      </c>
      <c r="D21" s="734"/>
      <c r="E21" s="734"/>
      <c r="F21" s="734">
        <v>5.73</v>
      </c>
      <c r="G21" s="734">
        <v>5.73</v>
      </c>
      <c r="H21" s="734"/>
      <c r="I21" s="408">
        <f t="shared" si="9"/>
        <v>5.73</v>
      </c>
      <c r="J21" s="408" t="e">
        <f t="shared" si="10"/>
        <v>#DIV/0!</v>
      </c>
      <c r="K21" s="736"/>
      <c r="L21" s="100"/>
    </row>
    <row r="22" spans="1:12" x14ac:dyDescent="0.25">
      <c r="A22" s="696" t="s">
        <v>1145</v>
      </c>
      <c r="B22" s="415"/>
      <c r="C22" s="734">
        <v>236685</v>
      </c>
      <c r="D22" s="734">
        <v>268181.06000000006</v>
      </c>
      <c r="E22" s="734">
        <v>268181.06000000006</v>
      </c>
      <c r="F22" s="734">
        <v>4628.38</v>
      </c>
      <c r="G22" s="734">
        <v>79714.340000000011</v>
      </c>
      <c r="H22" s="734">
        <f>E22/12*12</f>
        <v>268181.06000000006</v>
      </c>
      <c r="I22" s="408">
        <f t="shared" si="9"/>
        <v>-188466.72000000003</v>
      </c>
      <c r="J22" s="408">
        <f t="shared" si="10"/>
        <v>-0.70275924780072085</v>
      </c>
      <c r="K22" s="736">
        <f>E22</f>
        <v>268181.06000000006</v>
      </c>
      <c r="L22" s="100"/>
    </row>
    <row r="23" spans="1:12" x14ac:dyDescent="0.25">
      <c r="A23" s="696" t="s">
        <v>1146</v>
      </c>
      <c r="B23" s="415"/>
      <c r="C23" s="734"/>
      <c r="D23" s="734"/>
      <c r="E23" s="734">
        <v>0</v>
      </c>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-0.1</v>
      </c>
      <c r="G24" s="609">
        <f t="shared" si="11"/>
        <v>-0.1</v>
      </c>
      <c r="H24" s="609">
        <f t="shared" si="11"/>
        <v>0</v>
      </c>
      <c r="I24" s="609">
        <f t="shared" si="2"/>
        <v>-0.1</v>
      </c>
      <c r="J24" s="609" t="e">
        <f t="shared" si="3"/>
        <v>#DIV/0!</v>
      </c>
      <c r="K24" s="611">
        <f>SUM(K25:K25)</f>
        <v>0</v>
      </c>
      <c r="L24" s="100"/>
    </row>
    <row r="25" spans="1:12" x14ac:dyDescent="0.25">
      <c r="A25" s="696" t="s">
        <v>1148</v>
      </c>
      <c r="B25" s="415"/>
      <c r="C25" s="734"/>
      <c r="D25" s="734"/>
      <c r="E25" s="734"/>
      <c r="F25" s="734">
        <v>-0.1</v>
      </c>
      <c r="G25" s="734">
        <v>-0.1</v>
      </c>
      <c r="H25" s="734"/>
      <c r="I25" s="408">
        <f t="shared" si="2"/>
        <v>-0.1</v>
      </c>
      <c r="J25" s="408" t="e">
        <f t="shared" si="3"/>
        <v>#DIV/0!</v>
      </c>
      <c r="K25" s="736"/>
      <c r="L25" s="100"/>
    </row>
    <row r="26" spans="1:12" x14ac:dyDescent="0.25">
      <c r="A26" s="414" t="s">
        <v>113</v>
      </c>
      <c r="B26" s="415"/>
      <c r="C26" s="606">
        <f>C27+C49+C55+C64+C67</f>
        <v>189741250</v>
      </c>
      <c r="D26" s="606">
        <f t="shared" ref="D26:K26" si="12">D27+D49+D55+D64+D67</f>
        <v>109380497.92200559</v>
      </c>
      <c r="E26" s="606">
        <f t="shared" si="12"/>
        <v>353558391.57999998</v>
      </c>
      <c r="F26" s="606">
        <f t="shared" si="12"/>
        <v>33908610.139999971</v>
      </c>
      <c r="G26" s="606">
        <f t="shared" si="12"/>
        <v>156767726.44000006</v>
      </c>
      <c r="H26" s="606">
        <f t="shared" si="12"/>
        <v>353558391.57999998</v>
      </c>
      <c r="I26" s="606">
        <f t="shared" si="2"/>
        <v>-196790665.13999993</v>
      </c>
      <c r="J26" s="606">
        <f t="shared" si="3"/>
        <v>-0.55660018211015061</v>
      </c>
      <c r="K26" s="607">
        <f t="shared" si="12"/>
        <v>353558391.57999998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26616514.379999999</v>
      </c>
      <c r="G27" s="612">
        <f t="shared" si="13"/>
        <v>40207806.550000004</v>
      </c>
      <c r="H27" s="612">
        <f t="shared" si="13"/>
        <v>45902037.060000002</v>
      </c>
      <c r="I27" s="612">
        <f t="shared" si="2"/>
        <v>-5694230.5099999979</v>
      </c>
      <c r="J27" s="612">
        <f t="shared" si="3"/>
        <v>-0.12405180411834206</v>
      </c>
      <c r="K27" s="612">
        <f>SUM(K28:K48)</f>
        <v>45902037.060000002</v>
      </c>
      <c r="L27" s="100"/>
    </row>
    <row r="28" spans="1:12" x14ac:dyDescent="0.25">
      <c r="A28" s="696" t="s">
        <v>171</v>
      </c>
      <c r="B28" s="415"/>
      <c r="C28" s="734"/>
      <c r="D28" s="734"/>
      <c r="E28" s="734"/>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1522233.5299999998</v>
      </c>
      <c r="G31" s="734">
        <v>4089773.5399999996</v>
      </c>
      <c r="H31" s="734">
        <f>E31/12*12</f>
        <v>10577458.039999999</v>
      </c>
      <c r="I31" s="408">
        <f t="shared" si="14"/>
        <v>-6487684.5</v>
      </c>
      <c r="J31" s="408">
        <f t="shared" si="15"/>
        <v>-0.61335005778004492</v>
      </c>
      <c r="K31" s="736">
        <f>E31</f>
        <v>10577458.039999999</v>
      </c>
      <c r="L31" s="100"/>
    </row>
    <row r="32" spans="1:12" x14ac:dyDescent="0.25">
      <c r="A32" s="696" t="s">
        <v>1152</v>
      </c>
      <c r="B32" s="415"/>
      <c r="C32" s="734"/>
      <c r="D32" s="734"/>
      <c r="E32" s="734"/>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510980.02999999997</v>
      </c>
      <c r="G33" s="734">
        <v>6684525.3700000029</v>
      </c>
      <c r="H33" s="734">
        <f>E33/12*12</f>
        <v>7799174.0199999996</v>
      </c>
      <c r="I33" s="408">
        <f t="shared" si="14"/>
        <v>-1114648.6499999966</v>
      </c>
      <c r="J33" s="408">
        <f t="shared" si="15"/>
        <v>-0.1429188074457142</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24430988.07</v>
      </c>
      <c r="G41" s="734">
        <v>28730426.260000002</v>
      </c>
      <c r="H41" s="734">
        <f>E41/12*12</f>
        <v>26525263</v>
      </c>
      <c r="I41" s="408">
        <f t="shared" si="2"/>
        <v>2205163.2600000016</v>
      </c>
      <c r="J41" s="408">
        <f t="shared" si="3"/>
        <v>8.3134454123979906E-2</v>
      </c>
      <c r="K41" s="736">
        <f>E41</f>
        <v>26525263</v>
      </c>
      <c r="L41" s="100"/>
    </row>
    <row r="42" spans="1:12" x14ac:dyDescent="0.25">
      <c r="A42" s="696" t="s">
        <v>1160</v>
      </c>
      <c r="B42" s="415"/>
      <c r="C42" s="734"/>
      <c r="D42" s="734"/>
      <c r="E42" s="734"/>
      <c r="F42" s="734"/>
      <c r="G42" s="734"/>
      <c r="H42" s="734"/>
      <c r="I42" s="408">
        <f t="shared" si="2"/>
        <v>0</v>
      </c>
      <c r="J42" s="408" t="str">
        <f t="shared" si="3"/>
        <v/>
      </c>
      <c r="K42" s="736"/>
      <c r="L42" s="100"/>
    </row>
    <row r="43" spans="1:12" x14ac:dyDescent="0.25">
      <c r="A43" s="696" t="s">
        <v>1161</v>
      </c>
      <c r="B43" s="415"/>
      <c r="C43" s="734"/>
      <c r="D43" s="734"/>
      <c r="E43" s="734"/>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v>152315.69</v>
      </c>
      <c r="G44" s="734">
        <v>703084.32000000007</v>
      </c>
      <c r="H44" s="734">
        <f>E44/12*12</f>
        <v>1000142</v>
      </c>
      <c r="I44" s="408">
        <f t="shared" si="2"/>
        <v>-297057.67999999993</v>
      </c>
      <c r="J44" s="408">
        <f t="shared" si="3"/>
        <v>-0.29701550379846053</v>
      </c>
      <c r="K44" s="736">
        <f>E44</f>
        <v>1000142</v>
      </c>
      <c r="L44" s="100"/>
    </row>
    <row r="45" spans="1:12" x14ac:dyDescent="0.25">
      <c r="A45" s="696" t="s">
        <v>1163</v>
      </c>
      <c r="B45" s="415"/>
      <c r="C45" s="734">
        <v>25153</v>
      </c>
      <c r="D45" s="734"/>
      <c r="E45" s="734"/>
      <c r="F45" s="734">
        <v>-2.94</v>
      </c>
      <c r="G45" s="734">
        <v>-2.94</v>
      </c>
      <c r="H45" s="734"/>
      <c r="I45" s="408">
        <f t="shared" si="2"/>
        <v>-2.94</v>
      </c>
      <c r="J45" s="408" t="e">
        <f t="shared" si="3"/>
        <v>#DIV/0!</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11457.27</v>
      </c>
      <c r="G49" s="612">
        <f t="shared" si="18"/>
        <v>690965.74000000011</v>
      </c>
      <c r="H49" s="612">
        <f t="shared" si="18"/>
        <v>265177.01999999955</v>
      </c>
      <c r="I49" s="612">
        <f t="shared" ref="I49:I54" si="19">G49-H49</f>
        <v>425788.72000000055</v>
      </c>
      <c r="J49" s="612">
        <f t="shared" ref="J49:J54" si="20">IF(I49=0,"",I49/H49)</f>
        <v>1.6056772943598252</v>
      </c>
      <c r="K49" s="615">
        <f t="shared" si="18"/>
        <v>265177.01999999955</v>
      </c>
      <c r="L49" s="100"/>
    </row>
    <row r="50" spans="1:12" x14ac:dyDescent="0.25">
      <c r="A50" s="696" t="s">
        <v>1167</v>
      </c>
      <c r="B50" s="415"/>
      <c r="C50" s="734"/>
      <c r="D50" s="734"/>
      <c r="E50" s="734"/>
      <c r="F50" s="734"/>
      <c r="G50" s="734"/>
      <c r="H50" s="734"/>
      <c r="I50" s="408">
        <f t="shared" si="19"/>
        <v>0</v>
      </c>
      <c r="J50" s="408" t="str">
        <f t="shared" si="20"/>
        <v/>
      </c>
      <c r="K50" s="736"/>
      <c r="L50" s="100"/>
    </row>
    <row r="51" spans="1:12" x14ac:dyDescent="0.25">
      <c r="A51" s="696" t="s">
        <v>1168</v>
      </c>
      <c r="B51" s="415"/>
      <c r="C51" s="734"/>
      <c r="D51" s="734"/>
      <c r="E51" s="734"/>
      <c r="F51" s="734"/>
      <c r="G51" s="734"/>
      <c r="H51" s="734"/>
      <c r="I51" s="408">
        <f t="shared" si="19"/>
        <v>0</v>
      </c>
      <c r="J51" s="408" t="str">
        <f t="shared" si="20"/>
        <v/>
      </c>
      <c r="K51" s="736"/>
      <c r="L51" s="100"/>
    </row>
    <row r="52" spans="1:12" x14ac:dyDescent="0.25">
      <c r="A52" s="696" t="s">
        <v>1169</v>
      </c>
      <c r="B52" s="415"/>
      <c r="C52" s="734"/>
      <c r="D52" s="734"/>
      <c r="E52" s="734"/>
      <c r="F52" s="734">
        <v>67.909999999999982</v>
      </c>
      <c r="G52" s="734">
        <v>67.909999999999982</v>
      </c>
      <c r="H52" s="734"/>
      <c r="I52" s="408">
        <f t="shared" si="19"/>
        <v>67.909999999999982</v>
      </c>
      <c r="J52" s="408" t="e">
        <f t="shared" si="20"/>
        <v>#DIV/0!</v>
      </c>
      <c r="K52" s="736"/>
      <c r="L52" s="100"/>
    </row>
    <row r="53" spans="1:12" x14ac:dyDescent="0.25">
      <c r="A53" s="696" t="s">
        <v>1170</v>
      </c>
      <c r="B53" s="415"/>
      <c r="C53" s="734">
        <v>10053818</v>
      </c>
      <c r="D53" s="734">
        <v>10383827.442005599</v>
      </c>
      <c r="E53" s="734">
        <v>265177.01999999955</v>
      </c>
      <c r="F53" s="734">
        <v>11389.36</v>
      </c>
      <c r="G53" s="734">
        <v>690897.83000000007</v>
      </c>
      <c r="H53" s="734">
        <f>E53/12*12</f>
        <v>265177.01999999955</v>
      </c>
      <c r="I53" s="408">
        <f t="shared" si="19"/>
        <v>425720.81000000052</v>
      </c>
      <c r="J53" s="408">
        <f t="shared" si="20"/>
        <v>1.6054212012790596</v>
      </c>
      <c r="K53" s="736">
        <f>E53</f>
        <v>265177.01999999955</v>
      </c>
      <c r="L53" s="100"/>
    </row>
    <row r="54" spans="1:12" x14ac:dyDescent="0.25">
      <c r="A54" s="696" t="s">
        <v>1171</v>
      </c>
      <c r="B54" s="415"/>
      <c r="C54" s="734"/>
      <c r="D54" s="734"/>
      <c r="E54" s="734"/>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3705445.4200000004</v>
      </c>
      <c r="F55" s="612">
        <f t="shared" si="21"/>
        <v>4393953.8899999717</v>
      </c>
      <c r="G55" s="612">
        <f t="shared" si="21"/>
        <v>24098422.920000035</v>
      </c>
      <c r="H55" s="612">
        <f t="shared" si="21"/>
        <v>3705445.4200000004</v>
      </c>
      <c r="I55" s="612">
        <f t="shared" si="2"/>
        <v>20392977.500000034</v>
      </c>
      <c r="J55" s="612">
        <f t="shared" si="3"/>
        <v>5.5035158229371604</v>
      </c>
      <c r="K55" s="615">
        <f t="shared" si="21"/>
        <v>3705445.4200000004</v>
      </c>
      <c r="L55" s="100"/>
    </row>
    <row r="56" spans="1:12" x14ac:dyDescent="0.25">
      <c r="A56" s="696" t="s">
        <v>173</v>
      </c>
      <c r="B56" s="415"/>
      <c r="C56" s="734">
        <v>5397</v>
      </c>
      <c r="D56" s="734"/>
      <c r="E56" s="734">
        <v>99000</v>
      </c>
      <c r="F56" s="734">
        <v>-1066.29</v>
      </c>
      <c r="G56" s="734">
        <v>-1066.29</v>
      </c>
      <c r="H56" s="734">
        <f>E56/12*12</f>
        <v>99000</v>
      </c>
      <c r="I56" s="408">
        <f t="shared" si="2"/>
        <v>-100066.29</v>
      </c>
      <c r="J56" s="408">
        <f t="shared" si="3"/>
        <v>-1.0107706060606061</v>
      </c>
      <c r="K56" s="736">
        <f>E56</f>
        <v>99000</v>
      </c>
      <c r="L56" s="100"/>
    </row>
    <row r="57" spans="1:12" x14ac:dyDescent="0.25">
      <c r="A57" s="696" t="s">
        <v>1172</v>
      </c>
      <c r="B57" s="415"/>
      <c r="C57" s="734"/>
      <c r="D57" s="734"/>
      <c r="E57" s="734"/>
      <c r="F57" s="734"/>
      <c r="G57" s="734"/>
      <c r="H57" s="734"/>
      <c r="I57" s="408">
        <f t="shared" si="2"/>
        <v>0</v>
      </c>
      <c r="J57" s="408" t="str">
        <f t="shared" si="3"/>
        <v/>
      </c>
      <c r="K57" s="736"/>
      <c r="L57" s="100"/>
    </row>
    <row r="58" spans="1:12" x14ac:dyDescent="0.25">
      <c r="A58" s="696" t="s">
        <v>1173</v>
      </c>
      <c r="B58" s="415"/>
      <c r="C58" s="734"/>
      <c r="D58" s="734"/>
      <c r="E58" s="734"/>
      <c r="F58" s="734"/>
      <c r="G58" s="734"/>
      <c r="H58" s="734"/>
      <c r="I58" s="408">
        <f>G58-H58</f>
        <v>0</v>
      </c>
      <c r="J58" s="408" t="str">
        <f>IF(I58=0,"",I58/H58)</f>
        <v/>
      </c>
      <c r="K58" s="736"/>
      <c r="L58" s="100"/>
    </row>
    <row r="59" spans="1:12" x14ac:dyDescent="0.25">
      <c r="A59" s="696" t="s">
        <v>1174</v>
      </c>
      <c r="B59" s="415"/>
      <c r="C59" s="734"/>
      <c r="D59" s="734"/>
      <c r="E59" s="734"/>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16780.379999999997</v>
      </c>
      <c r="G60" s="734">
        <v>215526.74</v>
      </c>
      <c r="H60" s="734">
        <f>E60/12*12</f>
        <v>319875.14000000007</v>
      </c>
      <c r="I60" s="408">
        <f t="shared" si="2"/>
        <v>-104348.40000000008</v>
      </c>
      <c r="J60" s="408">
        <f t="shared" si="3"/>
        <v>-0.32621603541932037</v>
      </c>
      <c r="K60" s="736">
        <f>E60</f>
        <v>319875.14000000007</v>
      </c>
      <c r="L60" s="100"/>
    </row>
    <row r="61" spans="1:12" x14ac:dyDescent="0.25">
      <c r="A61" s="696" t="s">
        <v>1176</v>
      </c>
      <c r="B61" s="415"/>
      <c r="C61" s="734"/>
      <c r="D61" s="734"/>
      <c r="E61" s="734"/>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4378239.7999999719</v>
      </c>
      <c r="G62" s="734">
        <v>23883962.470000036</v>
      </c>
      <c r="H62" s="734">
        <f>E62/12*12</f>
        <v>3286570.2800000003</v>
      </c>
      <c r="I62" s="408">
        <f>G62-H62</f>
        <v>20597392.190000035</v>
      </c>
      <c r="J62" s="408">
        <f>IF(I62=0,"",I62/H62)</f>
        <v>6.2671388210812982</v>
      </c>
      <c r="K62" s="736">
        <f>E62</f>
        <v>3286570.2800000003</v>
      </c>
      <c r="L62" s="100"/>
    </row>
    <row r="63" spans="1:12" x14ac:dyDescent="0.25">
      <c r="A63" s="696" t="s">
        <v>1195</v>
      </c>
      <c r="B63" s="415"/>
      <c r="C63" s="734"/>
      <c r="D63" s="734"/>
      <c r="E63" s="734"/>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2886684.6000000006</v>
      </c>
      <c r="G64" s="612">
        <f t="shared" si="22"/>
        <v>91770531.230000004</v>
      </c>
      <c r="H64" s="612">
        <f t="shared" si="22"/>
        <v>303685732.07999998</v>
      </c>
      <c r="I64" s="612">
        <f>G64-H64</f>
        <v>-211915200.84999996</v>
      </c>
      <c r="J64" s="612">
        <f>IF(I64=0,"",I64/H64)</f>
        <v>-0.69781085663311671</v>
      </c>
      <c r="K64" s="615">
        <f>SUM(K65:K66)</f>
        <v>303685732.07999998</v>
      </c>
      <c r="L64" s="100"/>
    </row>
    <row r="65" spans="1:12" x14ac:dyDescent="0.25">
      <c r="A65" s="696" t="s">
        <v>720</v>
      </c>
      <c r="B65" s="415"/>
      <c r="C65" s="734">
        <v>126796992</v>
      </c>
      <c r="D65" s="734">
        <v>70502989</v>
      </c>
      <c r="E65" s="734">
        <v>303685732.07999998</v>
      </c>
      <c r="F65" s="734">
        <v>2886684.6000000006</v>
      </c>
      <c r="G65" s="734">
        <v>91770531.230000004</v>
      </c>
      <c r="H65" s="734">
        <f>E65/12*12</f>
        <v>303685732.07999998</v>
      </c>
      <c r="I65" s="408">
        <f>G65-H65</f>
        <v>-211915200.84999996</v>
      </c>
      <c r="J65" s="408">
        <f>IF(I65=0,"",I65/H65)</f>
        <v>-0.69781085663311671</v>
      </c>
      <c r="K65" s="736">
        <f>E65</f>
        <v>303685732.07999998</v>
      </c>
      <c r="L65" s="100"/>
    </row>
    <row r="66" spans="1:12" x14ac:dyDescent="0.25">
      <c r="A66" s="696" t="s">
        <v>1177</v>
      </c>
      <c r="B66" s="415"/>
      <c r="C66" s="734"/>
      <c r="D66" s="734"/>
      <c r="E66" s="734"/>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90761604.24000001</v>
      </c>
      <c r="G75" s="606">
        <f t="shared" si="24"/>
        <v>279313571.32999998</v>
      </c>
      <c r="H75" s="606">
        <f t="shared" si="24"/>
        <v>363699475.93999994</v>
      </c>
      <c r="I75" s="606">
        <f t="shared" si="2"/>
        <v>-84385904.609999955</v>
      </c>
      <c r="J75" s="606">
        <f t="shared" si="3"/>
        <v>-0.23202096838853084</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28839552.140000004</v>
      </c>
      <c r="G76" s="612">
        <f t="shared" si="25"/>
        <v>33595293.059999995</v>
      </c>
      <c r="H76" s="612">
        <f t="shared" si="25"/>
        <v>50990433.159999996</v>
      </c>
      <c r="I76" s="612">
        <f t="shared" si="2"/>
        <v>-17395140.100000001</v>
      </c>
      <c r="J76" s="612">
        <f t="shared" si="3"/>
        <v>-0.34114517218194196</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v>-0.22</v>
      </c>
      <c r="G78" s="734">
        <v>-0.22</v>
      </c>
      <c r="H78" s="734"/>
      <c r="I78" s="408">
        <f t="shared" si="2"/>
        <v>-0.22</v>
      </c>
      <c r="J78" s="408" t="e">
        <f t="shared" si="3"/>
        <v>#DIV/0!</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v>-4.05</v>
      </c>
      <c r="G81" s="734">
        <v>-4.05</v>
      </c>
      <c r="H81" s="734"/>
      <c r="I81" s="408">
        <f>G81-H81</f>
        <v>-4.05</v>
      </c>
      <c r="J81" s="408" t="e">
        <f>IF(I81=0,"",I81/H81)</f>
        <v>#DIV/0!</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28839556.410000004</v>
      </c>
      <c r="G83" s="734">
        <v>33595297.329999998</v>
      </c>
      <c r="H83" s="734">
        <f>E83/12*12</f>
        <v>50990433.159999996</v>
      </c>
      <c r="I83" s="408">
        <f>G83-H83</f>
        <v>-17395135.829999998</v>
      </c>
      <c r="J83" s="408">
        <f>IF(I83=0,"",I83/H83)</f>
        <v>-0.34114508844074309</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61921555.210000008</v>
      </c>
      <c r="G87" s="612">
        <f t="shared" si="26"/>
        <v>245674631.38</v>
      </c>
      <c r="H87" s="612">
        <f t="shared" si="26"/>
        <v>312605361</v>
      </c>
      <c r="I87" s="612">
        <f t="shared" si="2"/>
        <v>-66930729.620000005</v>
      </c>
      <c r="J87" s="612">
        <f t="shared" si="3"/>
        <v>-0.21410614778292303</v>
      </c>
      <c r="K87" s="615">
        <f>SUM(K88:K91)</f>
        <v>312605361</v>
      </c>
      <c r="L87" s="100"/>
    </row>
    <row r="88" spans="1:12" x14ac:dyDescent="0.25">
      <c r="A88" s="696" t="s">
        <v>1196</v>
      </c>
      <c r="B88" s="417"/>
      <c r="C88" s="734">
        <v>199373912</v>
      </c>
      <c r="D88" s="734">
        <v>194665000</v>
      </c>
      <c r="E88" s="734">
        <v>198708500</v>
      </c>
      <c r="F88" s="734">
        <v>41524957.990000002</v>
      </c>
      <c r="G88" s="734">
        <v>135535026.30999997</v>
      </c>
      <c r="H88" s="734">
        <f>E88/12*12</f>
        <v>198708500</v>
      </c>
      <c r="I88" s="408">
        <f t="shared" si="2"/>
        <v>-63173473.690000027</v>
      </c>
      <c r="J88" s="408">
        <f t="shared" si="3"/>
        <v>-0.31792033903934674</v>
      </c>
      <c r="K88" s="736">
        <f>E88</f>
        <v>198708500</v>
      </c>
      <c r="L88" s="100"/>
    </row>
    <row r="89" spans="1:12" x14ac:dyDescent="0.25">
      <c r="A89" s="696" t="s">
        <v>1197</v>
      </c>
      <c r="B89" s="417"/>
      <c r="C89" s="734"/>
      <c r="D89" s="734"/>
      <c r="E89" s="734"/>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v>20396597.220000003</v>
      </c>
      <c r="G90" s="734">
        <v>110139605.07000001</v>
      </c>
      <c r="H90" s="734">
        <f>E90/12*12</f>
        <v>113896861</v>
      </c>
      <c r="I90" s="408">
        <f t="shared" si="2"/>
        <v>-3757255.9299999923</v>
      </c>
      <c r="J90" s="408">
        <f t="shared" si="3"/>
        <v>-3.2988230729203261E-2</v>
      </c>
      <c r="K90" s="736">
        <f>E90</f>
        <v>113896861</v>
      </c>
      <c r="L90" s="100"/>
    </row>
    <row r="91" spans="1:12" x14ac:dyDescent="0.25">
      <c r="A91" s="696" t="s">
        <v>1198</v>
      </c>
      <c r="B91" s="417"/>
      <c r="C91" s="734">
        <v>120913</v>
      </c>
      <c r="D91" s="734"/>
      <c r="E91" s="734"/>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496.89</v>
      </c>
      <c r="G92" s="612">
        <f t="shared" si="27"/>
        <v>43646.89</v>
      </c>
      <c r="H92" s="612">
        <f t="shared" si="27"/>
        <v>103681.78</v>
      </c>
      <c r="I92" s="612">
        <f t="shared" si="2"/>
        <v>-60034.89</v>
      </c>
      <c r="J92" s="612">
        <f t="shared" si="3"/>
        <v>-0.57903027899405279</v>
      </c>
      <c r="K92" s="615">
        <f t="shared" si="27"/>
        <v>103681.78</v>
      </c>
      <c r="L92" s="100"/>
    </row>
    <row r="93" spans="1:12" x14ac:dyDescent="0.25">
      <c r="A93" s="696" t="s">
        <v>1199</v>
      </c>
      <c r="B93" s="417"/>
      <c r="C93" s="734"/>
      <c r="D93" s="734"/>
      <c r="E93" s="734"/>
      <c r="F93" s="734"/>
      <c r="G93" s="734"/>
      <c r="H93" s="734"/>
      <c r="I93" s="408">
        <f t="shared" si="2"/>
        <v>0</v>
      </c>
      <c r="J93" s="408" t="str">
        <f t="shared" si="3"/>
        <v/>
      </c>
      <c r="K93" s="736"/>
      <c r="L93" s="100"/>
    </row>
    <row r="94" spans="1:12" x14ac:dyDescent="0.25">
      <c r="A94" s="696" t="s">
        <v>1200</v>
      </c>
      <c r="B94" s="417"/>
      <c r="C94" s="734"/>
      <c r="D94" s="734"/>
      <c r="E94" s="734"/>
      <c r="F94" s="734"/>
      <c r="G94" s="734"/>
      <c r="H94" s="734"/>
      <c r="I94" s="408">
        <f t="shared" si="2"/>
        <v>0</v>
      </c>
      <c r="J94" s="408" t="str">
        <f t="shared" si="3"/>
        <v/>
      </c>
      <c r="K94" s="736"/>
      <c r="L94" s="100"/>
    </row>
    <row r="95" spans="1:12" x14ac:dyDescent="0.25">
      <c r="A95" s="696" t="s">
        <v>1201</v>
      </c>
      <c r="B95" s="417"/>
      <c r="C95" s="734"/>
      <c r="D95" s="734"/>
      <c r="E95" s="734"/>
      <c r="F95" s="734"/>
      <c r="G95" s="734"/>
      <c r="H95" s="734"/>
      <c r="I95" s="408">
        <f>G95-H95</f>
        <v>0</v>
      </c>
      <c r="J95" s="408" t="str">
        <f>IF(I95=0,"",I95/H95)</f>
        <v/>
      </c>
      <c r="K95" s="736"/>
      <c r="L95" s="100"/>
    </row>
    <row r="96" spans="1:12" x14ac:dyDescent="0.25">
      <c r="A96" s="696" t="s">
        <v>1202</v>
      </c>
      <c r="B96" s="417"/>
      <c r="C96" s="734"/>
      <c r="D96" s="734"/>
      <c r="E96" s="734"/>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496.89</v>
      </c>
      <c r="G97" s="734">
        <v>43646.89</v>
      </c>
      <c r="H97" s="734">
        <f>E97/12*12</f>
        <v>103681.78</v>
      </c>
      <c r="I97" s="408">
        <f t="shared" si="2"/>
        <v>-60034.89</v>
      </c>
      <c r="J97" s="408">
        <f t="shared" si="3"/>
        <v>-0.57903027899405279</v>
      </c>
      <c r="K97" s="736">
        <f>E97</f>
        <v>103681.78</v>
      </c>
      <c r="L97" s="100"/>
    </row>
    <row r="98" spans="1:12" x14ac:dyDescent="0.25">
      <c r="A98" s="696" t="s">
        <v>1203</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202264874.68000001</v>
      </c>
      <c r="G99" s="606">
        <f t="shared" si="28"/>
        <v>3741544007.6299996</v>
      </c>
      <c r="H99" s="606">
        <f t="shared" si="28"/>
        <v>4027872006.9400001</v>
      </c>
      <c r="I99" s="606">
        <f t="shared" si="28"/>
        <v>-286327999.30999982</v>
      </c>
      <c r="J99" s="606">
        <f t="shared" si="3"/>
        <v>-7.108666780291388E-2</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55610267.989999972</v>
      </c>
      <c r="G100" s="612">
        <f t="shared" si="29"/>
        <v>2250051829.7699995</v>
      </c>
      <c r="H100" s="612">
        <f t="shared" si="29"/>
        <v>2477494235.6999993</v>
      </c>
      <c r="I100" s="612">
        <f t="shared" si="2"/>
        <v>-227442405.92999983</v>
      </c>
      <c r="J100" s="612">
        <f t="shared" si="3"/>
        <v>-9.1803404687130385E-2</v>
      </c>
      <c r="K100" s="615">
        <f t="shared" si="29"/>
        <v>2477494235.6999993</v>
      </c>
      <c r="L100" s="100"/>
    </row>
    <row r="101" spans="1:12" x14ac:dyDescent="0.25">
      <c r="A101" s="696" t="s">
        <v>1205</v>
      </c>
      <c r="B101" s="417"/>
      <c r="C101" s="734">
        <v>2234877988</v>
      </c>
      <c r="D101" s="734">
        <v>2484432539.7090216</v>
      </c>
      <c r="E101" s="734">
        <v>2477494235.6999993</v>
      </c>
      <c r="F101" s="734">
        <v>55610267.989999972</v>
      </c>
      <c r="G101" s="734">
        <v>2250051829.7699995</v>
      </c>
      <c r="H101" s="734">
        <f>E101/12*12</f>
        <v>2477494235.6999993</v>
      </c>
      <c r="I101" s="408">
        <f t="shared" si="2"/>
        <v>-227442405.92999983</v>
      </c>
      <c r="J101" s="408">
        <f t="shared" si="3"/>
        <v>-9.1803404687130385E-2</v>
      </c>
      <c r="K101" s="736">
        <f>E101</f>
        <v>2477494235.6999993</v>
      </c>
      <c r="L101" s="100"/>
    </row>
    <row r="102" spans="1:12" x14ac:dyDescent="0.25">
      <c r="A102" s="696" t="s">
        <v>1206</v>
      </c>
      <c r="B102" s="417"/>
      <c r="C102" s="734">
        <v>594748</v>
      </c>
      <c r="D102" s="734"/>
      <c r="E102" s="734"/>
      <c r="F102" s="734"/>
      <c r="G102" s="734"/>
      <c r="H102" s="734"/>
      <c r="I102" s="408">
        <f>G102-H102</f>
        <v>0</v>
      </c>
      <c r="J102" s="408" t="str">
        <f>IF(I102=0,"",I102/H102)</f>
        <v/>
      </c>
      <c r="K102" s="736"/>
      <c r="L102" s="100"/>
    </row>
    <row r="103" spans="1:12" x14ac:dyDescent="0.25">
      <c r="A103" s="696" t="s">
        <v>1207</v>
      </c>
      <c r="B103" s="417"/>
      <c r="C103" s="734"/>
      <c r="D103" s="734"/>
      <c r="E103" s="734"/>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94893425.670000017</v>
      </c>
      <c r="G104" s="612">
        <f t="shared" si="30"/>
        <v>1089707611.8400002</v>
      </c>
      <c r="H104" s="612">
        <f t="shared" si="30"/>
        <v>1155973775.8300002</v>
      </c>
      <c r="I104" s="612">
        <f t="shared" si="2"/>
        <v>-66266163.99000001</v>
      </c>
      <c r="J104" s="612">
        <f t="shared" si="3"/>
        <v>-5.7324971703982014E-2</v>
      </c>
      <c r="K104" s="615">
        <f t="shared" si="30"/>
        <v>1155973775.8300002</v>
      </c>
      <c r="L104" s="100"/>
    </row>
    <row r="105" spans="1:12" x14ac:dyDescent="0.25">
      <c r="A105" s="696" t="s">
        <v>1209</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94893425.670000017</v>
      </c>
      <c r="G106" s="734">
        <v>1089707611.8400002</v>
      </c>
      <c r="H106" s="734">
        <f>E106/12*12</f>
        <v>1155973775.8300002</v>
      </c>
      <c r="I106" s="408">
        <f>G106-H106</f>
        <v>-66266163.99000001</v>
      </c>
      <c r="J106" s="408">
        <f>IF(I106=0,"",I106/H106)</f>
        <v>-5.7324971703982014E-2</v>
      </c>
      <c r="K106" s="736">
        <f>E106</f>
        <v>1155973775.8300002</v>
      </c>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41453400.719999999</v>
      </c>
      <c r="G108" s="612">
        <f t="shared" si="31"/>
        <v>260767633.63000003</v>
      </c>
      <c r="H108" s="612">
        <f t="shared" si="31"/>
        <v>223550820.81999999</v>
      </c>
      <c r="I108" s="612">
        <f t="shared" si="2"/>
        <v>37216812.810000032</v>
      </c>
      <c r="J108" s="612">
        <f t="shared" si="3"/>
        <v>0.16648032278962863</v>
      </c>
      <c r="K108" s="615">
        <f t="shared" si="31"/>
        <v>223550820.81999996</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41451200.82</v>
      </c>
      <c r="G110" s="734">
        <v>260765433.73000002</v>
      </c>
      <c r="H110" s="734">
        <f>E110/12*12</f>
        <v>223550820.81999999</v>
      </c>
      <c r="I110" s="408">
        <f t="shared" si="2"/>
        <v>37214612.910000026</v>
      </c>
      <c r="J110" s="408">
        <f t="shared" si="3"/>
        <v>0.16647048207425152</v>
      </c>
      <c r="K110" s="736">
        <f>E110</f>
        <v>223550820.81999996</v>
      </c>
      <c r="L110" s="100"/>
    </row>
    <row r="111" spans="1:12" x14ac:dyDescent="0.25">
      <c r="A111" s="696" t="s">
        <v>179</v>
      </c>
      <c r="B111" s="417"/>
      <c r="C111" s="734">
        <v>161</v>
      </c>
      <c r="D111" s="734"/>
      <c r="E111" s="734"/>
      <c r="F111" s="734">
        <v>2199.9</v>
      </c>
      <c r="G111" s="734">
        <v>2199.9</v>
      </c>
      <c r="H111" s="734"/>
      <c r="I111" s="408">
        <f>G111-H111</f>
        <v>2199.9</v>
      </c>
      <c r="J111" s="408" t="e">
        <f>IF(I111=0,"",I111/H111)</f>
        <v>#DIV/0!</v>
      </c>
      <c r="K111" s="736"/>
      <c r="L111" s="100"/>
    </row>
    <row r="112" spans="1:12" x14ac:dyDescent="0.25">
      <c r="A112" s="696" t="s">
        <v>1210</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10307780.299999997</v>
      </c>
      <c r="G113" s="612">
        <f t="shared" si="32"/>
        <v>141016932.38999999</v>
      </c>
      <c r="H113" s="612">
        <f t="shared" si="32"/>
        <v>170853174.58999997</v>
      </c>
      <c r="I113" s="612">
        <f t="shared" si="2"/>
        <v>-29836242.199999988</v>
      </c>
      <c r="J113" s="612">
        <f t="shared" si="3"/>
        <v>-0.1746308915336145</v>
      </c>
      <c r="K113" s="612">
        <f>SUM(K114:K117)</f>
        <v>170853174.58999997</v>
      </c>
      <c r="L113" s="100"/>
    </row>
    <row r="114" spans="1:12" x14ac:dyDescent="0.25">
      <c r="A114" s="696" t="s">
        <v>1211</v>
      </c>
      <c r="B114" s="417"/>
      <c r="C114" s="734"/>
      <c r="D114" s="734"/>
      <c r="E114" s="734"/>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1475482.38</v>
      </c>
      <c r="G115" s="734">
        <v>23816078.460000001</v>
      </c>
      <c r="H115" s="734">
        <f t="shared" ref="H115:H116" si="33">E115/12*12</f>
        <v>43825269.219999999</v>
      </c>
      <c r="I115" s="408">
        <f>G115-H115</f>
        <v>-20009190.759999998</v>
      </c>
      <c r="J115" s="408">
        <f>IF(I115=0,"",I115/H115)</f>
        <v>-0.45656743509218761</v>
      </c>
      <c r="K115" s="736">
        <f>E115</f>
        <v>43825269.219999999</v>
      </c>
      <c r="L115" s="100"/>
    </row>
    <row r="116" spans="1:12" x14ac:dyDescent="0.25">
      <c r="A116" s="696" t="s">
        <v>1213</v>
      </c>
      <c r="B116" s="417"/>
      <c r="C116" s="734">
        <v>119534746</v>
      </c>
      <c r="D116" s="734">
        <v>127027860.05580001</v>
      </c>
      <c r="E116" s="734">
        <v>127027905.36999999</v>
      </c>
      <c r="F116" s="734">
        <v>8832297.9199999981</v>
      </c>
      <c r="G116" s="734">
        <v>117200853.92999999</v>
      </c>
      <c r="H116" s="734">
        <f t="shared" si="33"/>
        <v>127027905.36999997</v>
      </c>
      <c r="I116" s="408">
        <f t="shared" si="2"/>
        <v>-9827051.4399999827</v>
      </c>
      <c r="J116" s="408">
        <f t="shared" si="3"/>
        <v>-7.7361359390885662E-2</v>
      </c>
      <c r="K116" s="736">
        <f>E116</f>
        <v>127027905.36999999</v>
      </c>
      <c r="L116" s="100"/>
    </row>
    <row r="117" spans="1:12" x14ac:dyDescent="0.25">
      <c r="A117" s="696" t="s">
        <v>1214</v>
      </c>
      <c r="B117" s="417"/>
      <c r="C117" s="734"/>
      <c r="D117" s="734"/>
      <c r="E117" s="734"/>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4059835.8399999985</v>
      </c>
      <c r="G118" s="612">
        <f t="shared" si="34"/>
        <v>33368772.930000003</v>
      </c>
      <c r="H118" s="612">
        <f t="shared" si="34"/>
        <v>58902383.160000011</v>
      </c>
      <c r="I118" s="612">
        <f t="shared" si="2"/>
        <v>-25533610.230000008</v>
      </c>
      <c r="J118" s="612">
        <f t="shared" si="3"/>
        <v>-0.43349027424988151</v>
      </c>
      <c r="K118" s="615">
        <f t="shared" si="34"/>
        <v>58902383.160000011</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1260362.6000000001</v>
      </c>
      <c r="G120" s="734">
        <v>7421976.5099999998</v>
      </c>
      <c r="H120" s="734">
        <f t="shared" ref="H120:H123" si="35">E120/12*12</f>
        <v>9560497.2200000007</v>
      </c>
      <c r="I120" s="408">
        <f t="shared" si="2"/>
        <v>-2138520.7100000009</v>
      </c>
      <c r="J120" s="408">
        <f t="shared" si="3"/>
        <v>-0.22368300108140199</v>
      </c>
      <c r="K120" s="736">
        <f>E120</f>
        <v>9560497.2200000007</v>
      </c>
      <c r="L120" s="100"/>
    </row>
    <row r="121" spans="1:12" x14ac:dyDescent="0.25">
      <c r="A121" s="608" t="s">
        <v>1215</v>
      </c>
      <c r="B121" s="417"/>
      <c r="C121" s="734">
        <v>6918116</v>
      </c>
      <c r="D121" s="734">
        <v>7333202.96</v>
      </c>
      <c r="E121" s="734">
        <v>7333202.96</v>
      </c>
      <c r="F121" s="734">
        <v>499999.86</v>
      </c>
      <c r="G121" s="734">
        <v>4999999.8600000003</v>
      </c>
      <c r="H121" s="734">
        <f t="shared" si="35"/>
        <v>7333202.9600000009</v>
      </c>
      <c r="I121" s="408">
        <f>G121-H121</f>
        <v>-2333203.1000000006</v>
      </c>
      <c r="J121" s="408">
        <f>IF(I121=0,"",I121/H121)</f>
        <v>-0.3181697155699616</v>
      </c>
      <c r="K121" s="736">
        <f>E121</f>
        <v>7333202.96</v>
      </c>
      <c r="L121" s="100"/>
    </row>
    <row r="122" spans="1:12" x14ac:dyDescent="0.25">
      <c r="A122" s="608" t="s">
        <v>1216</v>
      </c>
      <c r="B122" s="417"/>
      <c r="C122" s="734">
        <v>352870</v>
      </c>
      <c r="D122" s="734">
        <v>423052.36</v>
      </c>
      <c r="E122" s="734">
        <v>423052.36</v>
      </c>
      <c r="F122" s="734">
        <v>3522.27</v>
      </c>
      <c r="G122" s="734">
        <v>103438.5</v>
      </c>
      <c r="H122" s="734">
        <f t="shared" si="35"/>
        <v>423052.36</v>
      </c>
      <c r="I122" s="408">
        <f t="shared" si="2"/>
        <v>-319613.86</v>
      </c>
      <c r="J122" s="408">
        <f t="shared" si="3"/>
        <v>-0.75549480447290263</v>
      </c>
      <c r="K122" s="736">
        <f>E122</f>
        <v>423052.36</v>
      </c>
      <c r="L122" s="100"/>
    </row>
    <row r="123" spans="1:12" x14ac:dyDescent="0.25">
      <c r="A123" s="608" t="s">
        <v>448</v>
      </c>
      <c r="B123" s="415"/>
      <c r="C123" s="734">
        <v>12579768</v>
      </c>
      <c r="D123" s="734">
        <v>41585630.620000012</v>
      </c>
      <c r="E123" s="734">
        <v>41585630.620000012</v>
      </c>
      <c r="F123" s="734">
        <v>2295952.6999999983</v>
      </c>
      <c r="G123" s="734">
        <v>20843359.650000002</v>
      </c>
      <c r="H123" s="734">
        <f t="shared" si="35"/>
        <v>41585630.620000012</v>
      </c>
      <c r="I123" s="408">
        <f t="shared" si="2"/>
        <v>-20742270.97000001</v>
      </c>
      <c r="J123" s="408">
        <f t="shared" si="3"/>
        <v>-0.49878457199647014</v>
      </c>
      <c r="K123" s="736">
        <f>E123</f>
        <v>41585630.620000012</v>
      </c>
      <c r="L123" s="100"/>
    </row>
    <row r="124" spans="1:12" x14ac:dyDescent="0.25">
      <c r="A124" s="608" t="s">
        <v>182</v>
      </c>
      <c r="B124" s="415"/>
      <c r="C124" s="734"/>
      <c r="D124" s="734"/>
      <c r="E124" s="734"/>
      <c r="F124" s="734">
        <v>-1.59</v>
      </c>
      <c r="G124" s="734">
        <v>-1.59</v>
      </c>
      <c r="H124" s="734"/>
      <c r="I124" s="408">
        <f>G124-H124</f>
        <v>-1.59</v>
      </c>
      <c r="J124" s="408" t="e">
        <f>IF(I124=0,"",I124/H124)</f>
        <v>#DIV/0!</v>
      </c>
      <c r="K124" s="736"/>
      <c r="L124" s="100"/>
    </row>
    <row r="125" spans="1:12" x14ac:dyDescent="0.25">
      <c r="A125" s="616" t="str">
        <f>"Total "&amp;A5</f>
        <v>Total Revenue - Functional</v>
      </c>
      <c r="B125" s="415">
        <v>2</v>
      </c>
      <c r="C125" s="617">
        <f t="shared" ref="C125:H125" si="36">C6+C26+C75+C99+C118</f>
        <v>6098249279</v>
      </c>
      <c r="D125" s="617">
        <f t="shared" si="36"/>
        <v>6351937471.4078579</v>
      </c>
      <c r="E125" s="617">
        <f t="shared" si="36"/>
        <v>6602595773.5</v>
      </c>
      <c r="F125" s="617">
        <f t="shared" si="36"/>
        <v>445430787.95999998</v>
      </c>
      <c r="G125" s="617">
        <f t="shared" si="36"/>
        <v>5872210110.6099997</v>
      </c>
      <c r="H125" s="617">
        <f t="shared" si="36"/>
        <v>6602595773.5</v>
      </c>
      <c r="I125" s="617">
        <f>G125-H125</f>
        <v>-730385662.89000034</v>
      </c>
      <c r="J125" s="617">
        <f>IF(I125=0,"",I125/H125)</f>
        <v>-0.11062098725193151</v>
      </c>
      <c r="K125" s="618">
        <f>K6+K26+K75+K99+K118</f>
        <v>6602595773.5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1417089009.8287084</v>
      </c>
      <c r="E128" s="606">
        <f t="shared" si="38"/>
        <v>1363591242.0299995</v>
      </c>
      <c r="F128" s="606">
        <f t="shared" si="38"/>
        <v>42125663.240000039</v>
      </c>
      <c r="G128" s="606">
        <f t="shared" si="38"/>
        <v>867492745.02999997</v>
      </c>
      <c r="H128" s="606">
        <f t="shared" si="38"/>
        <v>1363591242.0299995</v>
      </c>
      <c r="I128" s="606">
        <f t="shared" ref="I128:I244" si="39">G128-H128</f>
        <v>-496098496.99999952</v>
      </c>
      <c r="J128" s="606">
        <f t="shared" ref="J128:J244" si="40">IF(I128=0,"",I128/H128)</f>
        <v>-0.36381760289208809</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189360836.78000003</v>
      </c>
      <c r="E129" s="609">
        <v>181807088.15000004</v>
      </c>
      <c r="F129" s="609">
        <f t="shared" si="41"/>
        <v>8701221.6200000029</v>
      </c>
      <c r="G129" s="609">
        <f t="shared" si="41"/>
        <v>120571796.67000002</v>
      </c>
      <c r="H129" s="609">
        <f t="shared" si="41"/>
        <v>181807088.15000004</v>
      </c>
      <c r="I129" s="609">
        <f t="shared" si="39"/>
        <v>-61235291.480000019</v>
      </c>
      <c r="J129" s="609">
        <f t="shared" si="40"/>
        <v>-0.33681465394505306</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7302940.3400000017</v>
      </c>
      <c r="G130" s="734">
        <v>78863742.800000012</v>
      </c>
      <c r="H130" s="734">
        <f t="shared" ref="H130:H131" si="42">E130/12*12</f>
        <v>93958472.190000013</v>
      </c>
      <c r="I130" s="408">
        <f t="shared" si="39"/>
        <v>-15094729.390000001</v>
      </c>
      <c r="J130" s="408">
        <f t="shared" si="40"/>
        <v>-0.16065320176211348</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91403513.410000026</v>
      </c>
      <c r="E131" s="734">
        <v>87848615.960000023</v>
      </c>
      <c r="F131" s="734">
        <v>1398281.2800000005</v>
      </c>
      <c r="G131" s="734">
        <v>41708053.869999997</v>
      </c>
      <c r="H131" s="734">
        <f t="shared" si="42"/>
        <v>87848615.960000023</v>
      </c>
      <c r="I131" s="408">
        <f t="shared" si="39"/>
        <v>-46140562.090000026</v>
      </c>
      <c r="J131" s="408">
        <f t="shared" si="40"/>
        <v>-0.52522810502796236</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1213645200.0587084</v>
      </c>
      <c r="E132" s="609">
        <f t="shared" si="43"/>
        <v>1159737793.0099995</v>
      </c>
      <c r="F132" s="609">
        <f t="shared" si="43"/>
        <v>27296755.170000032</v>
      </c>
      <c r="G132" s="609">
        <f t="shared" si="43"/>
        <v>728290999.65999997</v>
      </c>
      <c r="H132" s="609">
        <f t="shared" si="43"/>
        <v>1159737793.0099995</v>
      </c>
      <c r="I132" s="609">
        <f t="shared" si="39"/>
        <v>-431446793.34999955</v>
      </c>
      <c r="J132" s="609">
        <f t="shared" si="40"/>
        <v>-0.37202098263109679</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3309466.73</v>
      </c>
      <c r="G133" s="734">
        <v>46734688.729999997</v>
      </c>
      <c r="H133" s="734">
        <f t="shared" ref="H133:H135" si="44">E133/12*12</f>
        <v>54901051.409999982</v>
      </c>
      <c r="I133" s="408">
        <f t="shared" si="39"/>
        <v>-8166362.6799999848</v>
      </c>
      <c r="J133" s="408">
        <f t="shared" si="40"/>
        <v>-0.14874692688512917</v>
      </c>
      <c r="K133" s="736">
        <f>E133</f>
        <v>54901051.409999982</v>
      </c>
      <c r="L133" s="100"/>
    </row>
    <row r="134" spans="1:12" x14ac:dyDescent="0.25">
      <c r="A134" s="696" t="str">
        <f t="shared" si="37"/>
        <v>Asset Management</v>
      </c>
      <c r="B134" s="415"/>
      <c r="C134" s="734">
        <v>108133005.81000002</v>
      </c>
      <c r="D134" s="734">
        <v>116359965.92725447</v>
      </c>
      <c r="E134" s="734">
        <v>114523026.37</v>
      </c>
      <c r="F134" s="734">
        <v>3894715.9900000016</v>
      </c>
      <c r="G134" s="734">
        <v>59474038.769999996</v>
      </c>
      <c r="H134" s="734">
        <f t="shared" si="44"/>
        <v>114523026.37</v>
      </c>
      <c r="I134" s="408">
        <f t="shared" si="39"/>
        <v>-55048987.600000009</v>
      </c>
      <c r="J134" s="408">
        <f t="shared" si="40"/>
        <v>-0.48068051766417885</v>
      </c>
      <c r="K134" s="736">
        <f>E134</f>
        <v>114523026.37</v>
      </c>
      <c r="L134" s="100"/>
    </row>
    <row r="135" spans="1:12" x14ac:dyDescent="0.25">
      <c r="A135" s="696" t="str">
        <f t="shared" si="37"/>
        <v>Finance</v>
      </c>
      <c r="B135" s="415"/>
      <c r="C135" s="734">
        <v>797933757.13</v>
      </c>
      <c r="D135" s="734">
        <v>522068793</v>
      </c>
      <c r="E135" s="734">
        <v>498498809.44999993</v>
      </c>
      <c r="F135" s="734">
        <v>-21455834.509999968</v>
      </c>
      <c r="G135" s="734">
        <v>205187043.90999997</v>
      </c>
      <c r="H135" s="734">
        <f t="shared" si="44"/>
        <v>498498809.44999993</v>
      </c>
      <c r="I135" s="408">
        <f t="shared" si="39"/>
        <v>-293311765.53999996</v>
      </c>
      <c r="J135" s="408">
        <f t="shared" si="40"/>
        <v>-0.58839010240288148</v>
      </c>
      <c r="K135" s="736">
        <f>E135</f>
        <v>498498809.44999993</v>
      </c>
      <c r="L135" s="100"/>
    </row>
    <row r="136" spans="1:12" x14ac:dyDescent="0.25">
      <c r="A136" s="696" t="str">
        <f t="shared" si="37"/>
        <v>Fleet Management</v>
      </c>
      <c r="B136" s="415"/>
      <c r="C136" s="734"/>
      <c r="D136" s="734"/>
      <c r="E136" s="734"/>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208925093</v>
      </c>
      <c r="E137" s="734">
        <v>204211215.34999985</v>
      </c>
      <c r="F137" s="734">
        <v>6639202.5700000003</v>
      </c>
      <c r="G137" s="734">
        <v>78396472.839999989</v>
      </c>
      <c r="H137" s="734">
        <f t="shared" ref="H137:H141" si="45">E137/12*12</f>
        <v>204211215.34999985</v>
      </c>
      <c r="I137" s="408">
        <f t="shared" si="39"/>
        <v>-125814742.50999986</v>
      </c>
      <c r="J137" s="408">
        <f t="shared" si="40"/>
        <v>-0.61610104172958668</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5420815.6900000004</v>
      </c>
      <c r="G138" s="734">
        <v>39164718.960000008</v>
      </c>
      <c r="H138" s="734">
        <f t="shared" si="45"/>
        <v>34339365.910000011</v>
      </c>
      <c r="I138" s="408">
        <f t="shared" si="39"/>
        <v>4825353.049999997</v>
      </c>
      <c r="J138" s="408">
        <f t="shared" si="40"/>
        <v>0.14051957344369018</v>
      </c>
      <c r="K138" s="736">
        <f>E138</f>
        <v>34339365.910000011</v>
      </c>
      <c r="L138" s="100"/>
    </row>
    <row r="139" spans="1:12" x14ac:dyDescent="0.25">
      <c r="A139" s="696" t="str">
        <f t="shared" si="37"/>
        <v>Legal Services</v>
      </c>
      <c r="B139" s="415"/>
      <c r="C139" s="734">
        <v>10705121</v>
      </c>
      <c r="D139" s="734">
        <v>10073928.719999999</v>
      </c>
      <c r="E139" s="734">
        <v>13515157.719999993</v>
      </c>
      <c r="F139" s="734">
        <v>1369086.43</v>
      </c>
      <c r="G139" s="734">
        <v>14712300.77</v>
      </c>
      <c r="H139" s="734">
        <f t="shared" si="45"/>
        <v>13515157.719999995</v>
      </c>
      <c r="I139" s="408">
        <f t="shared" si="39"/>
        <v>1197143.0500000045</v>
      </c>
      <c r="J139" s="408">
        <f t="shared" si="40"/>
        <v>8.85778083246819E-2</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1160421.95</v>
      </c>
      <c r="G140" s="734">
        <v>15600706.34</v>
      </c>
      <c r="H140" s="734">
        <f t="shared" si="45"/>
        <v>7958530.2699999986</v>
      </c>
      <c r="I140" s="408">
        <f t="shared" si="39"/>
        <v>7642176.0700000012</v>
      </c>
      <c r="J140" s="408">
        <f t="shared" si="40"/>
        <v>0.96024967057139843</v>
      </c>
      <c r="K140" s="736">
        <f>E140</f>
        <v>7958530.2699999986</v>
      </c>
      <c r="L140" s="100"/>
    </row>
    <row r="141" spans="1:12" x14ac:dyDescent="0.25">
      <c r="A141" s="696" t="str">
        <f t="shared" si="37"/>
        <v>Property Services</v>
      </c>
      <c r="B141" s="415"/>
      <c r="C141" s="734">
        <v>58887380</v>
      </c>
      <c r="D141" s="734">
        <v>55766651.451453984</v>
      </c>
      <c r="E141" s="734">
        <v>53929921.32</v>
      </c>
      <c r="F141" s="734">
        <v>7356943.3899999997</v>
      </c>
      <c r="G141" s="734">
        <v>57189806.899999991</v>
      </c>
      <c r="H141" s="734">
        <f t="shared" si="45"/>
        <v>53929921.320000008</v>
      </c>
      <c r="I141" s="408">
        <f t="shared" si="39"/>
        <v>3259885.5799999833</v>
      </c>
      <c r="J141" s="408">
        <f t="shared" si="40"/>
        <v>6.0446696383201451E-2</v>
      </c>
      <c r="K141" s="736">
        <f>E141</f>
        <v>53929921.32</v>
      </c>
      <c r="L141" s="100"/>
    </row>
    <row r="142" spans="1:12" x14ac:dyDescent="0.25">
      <c r="A142" s="696" t="str">
        <f t="shared" si="37"/>
        <v>Risk Management</v>
      </c>
      <c r="B142" s="415"/>
      <c r="C142" s="734"/>
      <c r="D142" s="734"/>
      <c r="E142" s="734"/>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10509164.819999998</v>
      </c>
      <c r="G143" s="734">
        <v>154798854.36000001</v>
      </c>
      <c r="H143" s="734">
        <f t="shared" ref="H143:H144" si="46">E143/12*12</f>
        <v>114350802.35999998</v>
      </c>
      <c r="I143" s="408">
        <f t="shared" si="39"/>
        <v>40448052.00000003</v>
      </c>
      <c r="J143" s="408">
        <f t="shared" si="40"/>
        <v>0.35371900472251339</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9092772.1099999994</v>
      </c>
      <c r="G144" s="734">
        <v>57032368.080000013</v>
      </c>
      <c r="H144" s="734">
        <f t="shared" si="46"/>
        <v>63509912.849999994</v>
      </c>
      <c r="I144" s="408">
        <f t="shared" si="39"/>
        <v>-6477544.7699999809</v>
      </c>
      <c r="J144" s="408">
        <f t="shared" si="40"/>
        <v>-0.10199265719823739</v>
      </c>
      <c r="K144" s="736">
        <f>E144</f>
        <v>63509912.850000001</v>
      </c>
      <c r="L144" s="100"/>
    </row>
    <row r="145" spans="1:12" x14ac:dyDescent="0.25">
      <c r="A145" s="696" t="str">
        <f t="shared" si="37"/>
        <v>Valuation Service</v>
      </c>
      <c r="B145" s="415"/>
      <c r="C145" s="734"/>
      <c r="D145" s="734"/>
      <c r="E145" s="734"/>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6127686.4500000011</v>
      </c>
      <c r="G146" s="609">
        <f t="shared" si="47"/>
        <v>18629948.699999996</v>
      </c>
      <c r="H146" s="609">
        <f t="shared" si="47"/>
        <v>22046360.869999997</v>
      </c>
      <c r="I146" s="609">
        <f t="shared" si="39"/>
        <v>-3416412.1700000018</v>
      </c>
      <c r="J146" s="609">
        <f t="shared" si="40"/>
        <v>-0.1549649028311493</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6127686.4500000011</v>
      </c>
      <c r="G147" s="734">
        <v>18629948.699999996</v>
      </c>
      <c r="H147" s="734">
        <f>E147/12*12</f>
        <v>22046360.869999997</v>
      </c>
      <c r="I147" s="408">
        <f t="shared" si="39"/>
        <v>-3416412.1700000018</v>
      </c>
      <c r="J147" s="408">
        <f t="shared" si="40"/>
        <v>-0.1549649028311493</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520692886.04000002</v>
      </c>
      <c r="E148" s="606">
        <v>537217388.96000004</v>
      </c>
      <c r="F148" s="606">
        <f t="shared" si="48"/>
        <v>33612808.109999903</v>
      </c>
      <c r="G148" s="606">
        <f t="shared" si="48"/>
        <v>474410591.22000122</v>
      </c>
      <c r="H148" s="606">
        <f t="shared" si="48"/>
        <v>537217388.96000004</v>
      </c>
      <c r="I148" s="606">
        <f t="shared" si="39"/>
        <v>-62806797.739998817</v>
      </c>
      <c r="J148" s="606">
        <f t="shared" si="40"/>
        <v>-0.11691132683099963</v>
      </c>
      <c r="K148" s="607">
        <f>K149+K171+K177+K186+K189</f>
        <v>537217388.96000004</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9307483.3499999922</v>
      </c>
      <c r="G149" s="612">
        <f t="shared" si="49"/>
        <v>113395838.56000003</v>
      </c>
      <c r="H149" s="612">
        <f t="shared" si="49"/>
        <v>114956798.07999998</v>
      </c>
      <c r="I149" s="612">
        <f t="shared" si="39"/>
        <v>-1560959.5199999511</v>
      </c>
      <c r="J149" s="612">
        <f t="shared" si="40"/>
        <v>-1.3578662124128216E-2</v>
      </c>
      <c r="K149" s="615">
        <f>SUM(K150:K170)</f>
        <v>114956798.07999998</v>
      </c>
      <c r="L149" s="100"/>
    </row>
    <row r="150" spans="1:12" x14ac:dyDescent="0.25">
      <c r="A150" s="696" t="str">
        <f t="shared" si="37"/>
        <v>Aged Care</v>
      </c>
      <c r="B150" s="621"/>
      <c r="C150" s="734">
        <v>4368270</v>
      </c>
      <c r="D150" s="734">
        <v>4717466.09</v>
      </c>
      <c r="E150" s="734">
        <v>4716629.0699999994</v>
      </c>
      <c r="F150" s="734">
        <v>-141.72000000000003</v>
      </c>
      <c r="G150" s="734">
        <v>26378.86</v>
      </c>
      <c r="H150" s="734">
        <f>E150/12*12</f>
        <v>4716629.0699999994</v>
      </c>
      <c r="I150" s="408">
        <f t="shared" si="39"/>
        <v>-4690250.209999999</v>
      </c>
      <c r="J150" s="408">
        <f t="shared" si="40"/>
        <v>-0.99440726425408721</v>
      </c>
      <c r="K150" s="736">
        <f>E150</f>
        <v>4716629.0699999994</v>
      </c>
      <c r="L150" s="100"/>
    </row>
    <row r="151" spans="1:12" x14ac:dyDescent="0.25">
      <c r="A151" s="696" t="str">
        <f t="shared" si="37"/>
        <v>Agricultural</v>
      </c>
      <c r="B151" s="621"/>
      <c r="C151" s="734"/>
      <c r="D151" s="734"/>
      <c r="E151" s="734"/>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v>111726.94</v>
      </c>
      <c r="G152" s="734">
        <v>1322049.3599999999</v>
      </c>
      <c r="H152" s="734">
        <f>E152/12*12</f>
        <v>1323388</v>
      </c>
      <c r="I152" s="408">
        <f t="shared" si="39"/>
        <v>-1338.6400000001304</v>
      </c>
      <c r="J152" s="408">
        <f t="shared" si="40"/>
        <v>-1.0115249647118837E-3</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1756563.3299999998</v>
      </c>
      <c r="G153" s="734">
        <v>25846234.070000008</v>
      </c>
      <c r="H153" s="734">
        <f>E153/12*12</f>
        <v>23485034.039999999</v>
      </c>
      <c r="I153" s="408">
        <f t="shared" si="39"/>
        <v>2361200.0300000086</v>
      </c>
      <c r="J153" s="408">
        <f t="shared" si="40"/>
        <v>0.10054062625493256</v>
      </c>
      <c r="K153" s="736">
        <f>E153</f>
        <v>23485034.039999999</v>
      </c>
      <c r="L153" s="100"/>
    </row>
    <row r="154" spans="1:12" x14ac:dyDescent="0.25">
      <c r="A154" s="696" t="str">
        <f t="shared" si="37"/>
        <v>Child Care Facilities</v>
      </c>
      <c r="B154" s="621"/>
      <c r="C154" s="734"/>
      <c r="D154" s="734"/>
      <c r="E154" s="734"/>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207788.74000000005</v>
      </c>
      <c r="G155" s="734">
        <v>15214968.880000003</v>
      </c>
      <c r="H155" s="734">
        <f>E155/12*12</f>
        <v>14628616.32</v>
      </c>
      <c r="I155" s="408">
        <f t="shared" si="39"/>
        <v>586352.56000000238</v>
      </c>
      <c r="J155" s="408">
        <f t="shared" si="40"/>
        <v>4.0082571527858789E-2</v>
      </c>
      <c r="K155" s="736">
        <f>E155</f>
        <v>14628616.32</v>
      </c>
      <c r="L155" s="100"/>
    </row>
    <row r="156" spans="1:12" x14ac:dyDescent="0.25">
      <c r="A156" s="696" t="str">
        <f t="shared" si="37"/>
        <v>Consumer Protection</v>
      </c>
      <c r="B156" s="621"/>
      <c r="C156" s="734"/>
      <c r="D156" s="734"/>
      <c r="E156" s="734"/>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c r="F158" s="734"/>
      <c r="G158" s="734"/>
      <c r="H158" s="734"/>
      <c r="I158" s="408">
        <f>G158-H158</f>
        <v>0</v>
      </c>
      <c r="J158" s="408" t="str">
        <f>IF(I158=0,"",I158/H158)</f>
        <v/>
      </c>
      <c r="K158" s="736"/>
      <c r="L158" s="100"/>
    </row>
    <row r="159" spans="1:12" x14ac:dyDescent="0.25">
      <c r="A159" s="696" t="str">
        <f t="shared" si="37"/>
        <v>Education</v>
      </c>
      <c r="B159" s="621"/>
      <c r="C159" s="734"/>
      <c r="D159" s="734"/>
      <c r="E159" s="734"/>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61567288.86999999</v>
      </c>
      <c r="F163" s="734">
        <v>6321919.4999999925</v>
      </c>
      <c r="G163" s="734">
        <v>59169791.75</v>
      </c>
      <c r="H163" s="734">
        <f>E163/12*12</f>
        <v>61567288.86999999</v>
      </c>
      <c r="I163" s="408">
        <f t="shared" si="50"/>
        <v>-2397497.1199999899</v>
      </c>
      <c r="J163" s="408">
        <f t="shared" si="51"/>
        <v>-3.8941086476332126E-2</v>
      </c>
      <c r="K163" s="736">
        <f>E163</f>
        <v>61567288.86999999</v>
      </c>
      <c r="L163" s="100"/>
    </row>
    <row r="164" spans="1:12" x14ac:dyDescent="0.25">
      <c r="A164" s="696" t="str">
        <f t="shared" si="52"/>
        <v>Literacy Programmes</v>
      </c>
      <c r="B164" s="621"/>
      <c r="C164" s="734"/>
      <c r="D164" s="734"/>
      <c r="E164" s="734"/>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7596650.6699999999</v>
      </c>
      <c r="F166" s="734">
        <v>617389.06000000006</v>
      </c>
      <c r="G166" s="734">
        <v>6752663.7300000004</v>
      </c>
      <c r="H166" s="734">
        <f t="shared" ref="H166:H167" si="53">E166/12*12</f>
        <v>7596650.6699999999</v>
      </c>
      <c r="I166" s="408">
        <f t="shared" si="39"/>
        <v>-843986.93999999948</v>
      </c>
      <c r="J166" s="408">
        <f t="shared" si="40"/>
        <v>-0.11109987501899959</v>
      </c>
      <c r="K166" s="736">
        <f>E166</f>
        <v>7596650.6699999999</v>
      </c>
      <c r="L166" s="100"/>
    </row>
    <row r="167" spans="1:12" x14ac:dyDescent="0.25">
      <c r="A167" s="696" t="str">
        <f t="shared" si="52"/>
        <v>Population Development</v>
      </c>
      <c r="B167" s="621"/>
      <c r="C167" s="734">
        <v>1907175.54</v>
      </c>
      <c r="D167" s="734">
        <v>1980297.4200000004</v>
      </c>
      <c r="E167" s="734">
        <v>1639191.1100000003</v>
      </c>
      <c r="F167" s="734">
        <v>291700.18000000005</v>
      </c>
      <c r="G167" s="734">
        <v>5057304.07</v>
      </c>
      <c r="H167" s="734">
        <f t="shared" si="53"/>
        <v>1639191.1100000003</v>
      </c>
      <c r="I167" s="408">
        <f t="shared" si="39"/>
        <v>3418112.96</v>
      </c>
      <c r="J167" s="408">
        <f t="shared" si="40"/>
        <v>2.0852437151150722</v>
      </c>
      <c r="K167" s="736">
        <f>E167</f>
        <v>1639191.1100000003</v>
      </c>
      <c r="L167" s="100"/>
    </row>
    <row r="168" spans="1:12" x14ac:dyDescent="0.25">
      <c r="A168" s="696" t="str">
        <f t="shared" si="52"/>
        <v>Provincial Cultural Matters</v>
      </c>
      <c r="B168" s="621"/>
      <c r="C168" s="734"/>
      <c r="D168" s="734"/>
      <c r="E168" s="734"/>
      <c r="F168" s="734"/>
      <c r="G168" s="734"/>
      <c r="H168" s="734"/>
      <c r="I168" s="408">
        <f t="shared" si="39"/>
        <v>0</v>
      </c>
      <c r="J168" s="408" t="str">
        <f t="shared" si="40"/>
        <v/>
      </c>
      <c r="K168" s="736"/>
      <c r="L168" s="100"/>
    </row>
    <row r="169" spans="1:12" x14ac:dyDescent="0.25">
      <c r="A169" s="696" t="str">
        <f t="shared" si="52"/>
        <v>Theatres</v>
      </c>
      <c r="B169" s="621"/>
      <c r="C169" s="734"/>
      <c r="D169" s="734"/>
      <c r="E169" s="734"/>
      <c r="F169" s="734">
        <v>537.32000000000005</v>
      </c>
      <c r="G169" s="734">
        <v>6447.84</v>
      </c>
      <c r="H169" s="734"/>
      <c r="I169" s="408">
        <f t="shared" si="39"/>
        <v>6447.84</v>
      </c>
      <c r="J169" s="408" t="e">
        <f t="shared" si="40"/>
        <v>#DIV/0!</v>
      </c>
      <c r="K169" s="736"/>
      <c r="L169" s="100"/>
    </row>
    <row r="170" spans="1:12" x14ac:dyDescent="0.25">
      <c r="A170" s="696" t="str">
        <f t="shared" si="52"/>
        <v>Zoo's</v>
      </c>
      <c r="B170" s="621"/>
      <c r="C170" s="734"/>
      <c r="D170" s="734"/>
      <c r="E170" s="734"/>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122689581.57000002</v>
      </c>
      <c r="F171" s="612">
        <f t="shared" si="54"/>
        <v>5540163.1400000006</v>
      </c>
      <c r="G171" s="612">
        <f t="shared" si="54"/>
        <v>117467640.67000005</v>
      </c>
      <c r="H171" s="612">
        <f t="shared" si="54"/>
        <v>122689581.57000002</v>
      </c>
      <c r="I171" s="612">
        <f t="shared" ref="I171:I176" si="55">G171-H171</f>
        <v>-5221940.8999999762</v>
      </c>
      <c r="J171" s="612">
        <f t="shared" ref="J171:J176" si="56">IF(I171=0,"",I171/H171)</f>
        <v>-4.2562219490663272E-2</v>
      </c>
      <c r="K171" s="615">
        <f t="shared" si="54"/>
        <v>122689581.57000002</v>
      </c>
      <c r="L171" s="100"/>
    </row>
    <row r="172" spans="1:12" x14ac:dyDescent="0.25">
      <c r="A172" s="696" t="str">
        <f t="shared" si="52"/>
        <v xml:space="preserve">Beaches and Jetties </v>
      </c>
      <c r="B172" s="621"/>
      <c r="C172" s="734"/>
      <c r="D172" s="734"/>
      <c r="E172" s="734"/>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74482285.330000028</v>
      </c>
      <c r="F174" s="734">
        <v>2574459.4000000008</v>
      </c>
      <c r="G174" s="734">
        <v>45195283.270000003</v>
      </c>
      <c r="H174" s="734">
        <f t="shared" ref="H174:H175" si="57">E174/12*12</f>
        <v>74482285.330000028</v>
      </c>
      <c r="I174" s="408">
        <f t="shared" si="55"/>
        <v>-29287002.060000025</v>
      </c>
      <c r="J174" s="408">
        <f t="shared" si="56"/>
        <v>-0.39320761883502231</v>
      </c>
      <c r="K174" s="736">
        <f>E174</f>
        <v>74482285.330000028</v>
      </c>
      <c r="L174" s="100"/>
    </row>
    <row r="175" spans="1:12" x14ac:dyDescent="0.25">
      <c r="A175" s="696" t="str">
        <f t="shared" si="52"/>
        <v>Recreational Facilities</v>
      </c>
      <c r="B175" s="621"/>
      <c r="C175" s="734">
        <v>53014934.75</v>
      </c>
      <c r="D175" s="734">
        <v>51424526.61999999</v>
      </c>
      <c r="E175" s="734">
        <v>48207296.239999987</v>
      </c>
      <c r="F175" s="734">
        <v>2965703.74</v>
      </c>
      <c r="G175" s="734">
        <v>72272357.400000036</v>
      </c>
      <c r="H175" s="734">
        <f t="shared" si="57"/>
        <v>48207296.239999987</v>
      </c>
      <c r="I175" s="408">
        <f t="shared" si="55"/>
        <v>24065061.160000049</v>
      </c>
      <c r="J175" s="408">
        <f t="shared" si="56"/>
        <v>0.49919956182964836</v>
      </c>
      <c r="K175" s="736">
        <f>E175</f>
        <v>48207296.239999987</v>
      </c>
      <c r="L175" s="100"/>
    </row>
    <row r="176" spans="1:12" x14ac:dyDescent="0.25">
      <c r="A176" s="696" t="str">
        <f t="shared" si="52"/>
        <v>Sports Grounds and Stadiums</v>
      </c>
      <c r="B176" s="621"/>
      <c r="C176" s="734"/>
      <c r="D176" s="734"/>
      <c r="E176" s="734"/>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180293582.25999999</v>
      </c>
      <c r="E177" s="612">
        <f t="shared" si="58"/>
        <v>183547611.95000002</v>
      </c>
      <c r="F177" s="612">
        <f t="shared" si="58"/>
        <v>15719034.35999991</v>
      </c>
      <c r="G177" s="612">
        <f t="shared" si="58"/>
        <v>192536136.43000114</v>
      </c>
      <c r="H177" s="612">
        <f t="shared" si="58"/>
        <v>183547611.95000002</v>
      </c>
      <c r="I177" s="612">
        <f t="shared" si="39"/>
        <v>8988524.4800011218</v>
      </c>
      <c r="J177" s="612">
        <f t="shared" si="40"/>
        <v>4.8971078318630887E-2</v>
      </c>
      <c r="K177" s="615">
        <f t="shared" si="58"/>
        <v>183547611.95000002</v>
      </c>
      <c r="L177" s="100"/>
    </row>
    <row r="178" spans="1:12" x14ac:dyDescent="0.25">
      <c r="A178" s="696" t="str">
        <f t="shared" si="52"/>
        <v>Civil Defence</v>
      </c>
      <c r="B178" s="621"/>
      <c r="C178" s="734">
        <v>1828973</v>
      </c>
      <c r="D178" s="734">
        <v>11267482.290000001</v>
      </c>
      <c r="E178" s="734">
        <v>15484913.91</v>
      </c>
      <c r="F178" s="734">
        <v>148383.29</v>
      </c>
      <c r="G178" s="734">
        <v>13904157.969999999</v>
      </c>
      <c r="H178" s="734">
        <f>E178/12*12</f>
        <v>15484913.91</v>
      </c>
      <c r="I178" s="408">
        <f t="shared" si="39"/>
        <v>-1580755.9400000013</v>
      </c>
      <c r="J178" s="408">
        <f t="shared" si="40"/>
        <v>-0.10208361177772937</v>
      </c>
      <c r="K178" s="736">
        <f>E178</f>
        <v>15484913.91</v>
      </c>
      <c r="L178" s="100"/>
    </row>
    <row r="179" spans="1:12" x14ac:dyDescent="0.25">
      <c r="A179" s="696" t="str">
        <f t="shared" si="52"/>
        <v>Cleansing</v>
      </c>
      <c r="B179" s="621"/>
      <c r="C179" s="734"/>
      <c r="D179" s="734"/>
      <c r="E179" s="734"/>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91350090.199999973</v>
      </c>
      <c r="F182" s="734">
        <v>7450126.6799999997</v>
      </c>
      <c r="G182" s="734">
        <v>98250934.679999992</v>
      </c>
      <c r="H182" s="734">
        <f>E182/12*12</f>
        <v>91350090.199999973</v>
      </c>
      <c r="I182" s="408">
        <f t="shared" si="39"/>
        <v>6900844.4800000191</v>
      </c>
      <c r="J182" s="408">
        <f t="shared" si="40"/>
        <v>7.5542831593175819E-2</v>
      </c>
      <c r="K182" s="736">
        <f>E182</f>
        <v>91350090.199999973</v>
      </c>
      <c r="L182" s="100"/>
    </row>
    <row r="183" spans="1:12" x14ac:dyDescent="0.25">
      <c r="A183" s="696" t="str">
        <f t="shared" si="52"/>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76712607.840000048</v>
      </c>
      <c r="F184" s="734">
        <v>8120524.3899999093</v>
      </c>
      <c r="G184" s="734">
        <v>80381043.780001149</v>
      </c>
      <c r="H184" s="734">
        <f>E184/12*12</f>
        <v>76712607.840000048</v>
      </c>
      <c r="I184" s="408">
        <f>G184-H184</f>
        <v>3668435.9400011003</v>
      </c>
      <c r="J184" s="408">
        <f>IF(I184=0,"",I184/H184)</f>
        <v>4.7820508822387829E-2</v>
      </c>
      <c r="K184" s="736">
        <f>E184</f>
        <v>76712607.840000048</v>
      </c>
      <c r="L184" s="100"/>
    </row>
    <row r="185" spans="1:12" x14ac:dyDescent="0.25">
      <c r="A185" s="696" t="str">
        <f t="shared" si="52"/>
        <v>Pounds</v>
      </c>
      <c r="B185" s="621"/>
      <c r="C185" s="734"/>
      <c r="D185" s="734"/>
      <c r="E185" s="734"/>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115817824.73</v>
      </c>
      <c r="F186" s="612">
        <f t="shared" si="59"/>
        <v>2609125.7199999988</v>
      </c>
      <c r="G186" s="612">
        <f t="shared" si="59"/>
        <v>45541740.019999988</v>
      </c>
      <c r="H186" s="612">
        <f t="shared" si="59"/>
        <v>115817824.73</v>
      </c>
      <c r="I186" s="612">
        <f>G186-H186</f>
        <v>-70276084.710000008</v>
      </c>
      <c r="J186" s="612">
        <f>IF(I186=0,"",I186/H186)</f>
        <v>-0.60678125214172296</v>
      </c>
      <c r="K186" s="612">
        <f>SUM(K187:K188)</f>
        <v>115817824.73</v>
      </c>
      <c r="L186" s="100"/>
    </row>
    <row r="187" spans="1:12" x14ac:dyDescent="0.25">
      <c r="A187" s="696" t="str">
        <f t="shared" si="52"/>
        <v>Housing</v>
      </c>
      <c r="B187" s="621"/>
      <c r="C187" s="734">
        <v>120625836</v>
      </c>
      <c r="D187" s="734">
        <v>98864970.179999977</v>
      </c>
      <c r="E187" s="734">
        <v>115817824.73</v>
      </c>
      <c r="F187" s="734">
        <v>2609125.7199999988</v>
      </c>
      <c r="G187" s="734">
        <v>45541740.019999988</v>
      </c>
      <c r="H187" s="734">
        <f>E187/12*12</f>
        <v>115817824.73</v>
      </c>
      <c r="I187" s="408">
        <f>G187-H187</f>
        <v>-70276084.710000008</v>
      </c>
      <c r="J187" s="408">
        <f>IF(I187=0,"",I187/H187)</f>
        <v>-0.60678125214172296</v>
      </c>
      <c r="K187" s="736">
        <f>E187</f>
        <v>115817824.73</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205572.62999999998</v>
      </c>
      <c r="F189" s="612">
        <f t="shared" si="60"/>
        <v>437001.5400000001</v>
      </c>
      <c r="G189" s="612">
        <f t="shared" si="60"/>
        <v>5469235.5399999982</v>
      </c>
      <c r="H189" s="612">
        <f t="shared" si="60"/>
        <v>205572.62999999998</v>
      </c>
      <c r="I189" s="612">
        <f t="shared" si="39"/>
        <v>5263662.9099999983</v>
      </c>
      <c r="J189" s="612">
        <f t="shared" si="40"/>
        <v>25.604881885297662</v>
      </c>
      <c r="K189" s="615">
        <f t="shared" si="60"/>
        <v>205572.62999999998</v>
      </c>
      <c r="L189" s="100"/>
    </row>
    <row r="190" spans="1:12" x14ac:dyDescent="0.25">
      <c r="A190" s="696" t="str">
        <f t="shared" si="52"/>
        <v>Ambulance</v>
      </c>
      <c r="B190" s="621"/>
      <c r="C190" s="734"/>
      <c r="D190" s="734"/>
      <c r="E190" s="734"/>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205572.62999999998</v>
      </c>
      <c r="F191" s="734">
        <v>437001.5400000001</v>
      </c>
      <c r="G191" s="734">
        <v>5469235.5399999982</v>
      </c>
      <c r="H191" s="734">
        <f>E191/12*12</f>
        <v>205572.62999999998</v>
      </c>
      <c r="I191" s="408">
        <f t="shared" si="39"/>
        <v>5263662.9099999983</v>
      </c>
      <c r="J191" s="408">
        <f t="shared" si="40"/>
        <v>25.604881885297662</v>
      </c>
      <c r="K191" s="736">
        <f>E191</f>
        <v>205572.62999999998</v>
      </c>
      <c r="L191" s="100"/>
    </row>
    <row r="192" spans="1:12" x14ac:dyDescent="0.25">
      <c r="A192" s="696" t="str">
        <f t="shared" ref="A192:A223" si="61">A70</f>
        <v>Laboratory Services</v>
      </c>
      <c r="B192" s="621"/>
      <c r="C192" s="734"/>
      <c r="D192" s="734"/>
      <c r="E192" s="734"/>
      <c r="F192" s="734"/>
      <c r="G192" s="734"/>
      <c r="H192" s="734"/>
      <c r="I192" s="408">
        <f t="shared" si="39"/>
        <v>0</v>
      </c>
      <c r="J192" s="408" t="str">
        <f t="shared" si="40"/>
        <v/>
      </c>
      <c r="K192" s="736"/>
      <c r="L192" s="100"/>
    </row>
    <row r="193" spans="1:12" x14ac:dyDescent="0.25">
      <c r="A193" s="696" t="str">
        <f t="shared" si="6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246245191.74999994</v>
      </c>
      <c r="F197" s="606">
        <f t="shared" si="62"/>
        <v>20469432.219999991</v>
      </c>
      <c r="G197" s="606">
        <f t="shared" si="62"/>
        <v>332394505.92000002</v>
      </c>
      <c r="H197" s="606">
        <f t="shared" si="62"/>
        <v>246245191.74999994</v>
      </c>
      <c r="I197" s="606">
        <f t="shared" si="39"/>
        <v>86149314.170000076</v>
      </c>
      <c r="J197" s="606">
        <f t="shared" si="40"/>
        <v>0.34985176180602556</v>
      </c>
      <c r="K197" s="607">
        <f>K198+K209+K214</f>
        <v>246245191.74999994</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83300729.209999964</v>
      </c>
      <c r="F198" s="612">
        <f t="shared" si="63"/>
        <v>20742122.109999992</v>
      </c>
      <c r="G198" s="612">
        <f t="shared" si="63"/>
        <v>83432685.730000019</v>
      </c>
      <c r="H198" s="612">
        <f t="shared" si="63"/>
        <v>83300729.209999964</v>
      </c>
      <c r="I198" s="612">
        <f t="shared" si="39"/>
        <v>131956.52000005543</v>
      </c>
      <c r="J198" s="612">
        <f t="shared" si="40"/>
        <v>1.584098017526292E-3</v>
      </c>
      <c r="K198" s="615">
        <f t="shared" si="63"/>
        <v>83300729.209999964</v>
      </c>
      <c r="L198" s="100"/>
    </row>
    <row r="199" spans="1:12" x14ac:dyDescent="0.25">
      <c r="A199" s="696" t="str">
        <f t="shared" si="61"/>
        <v>Billboards</v>
      </c>
      <c r="B199" s="621"/>
      <c r="C199" s="734"/>
      <c r="D199" s="734"/>
      <c r="E199" s="734"/>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6127315.6299999999</v>
      </c>
      <c r="F200" s="734">
        <v>407529.20000000007</v>
      </c>
      <c r="G200" s="734">
        <v>5499165.3700000001</v>
      </c>
      <c r="H200" s="734">
        <f>E200/12*12</f>
        <v>6127315.6299999999</v>
      </c>
      <c r="I200" s="408">
        <f t="shared" si="39"/>
        <v>-628150.25999999978</v>
      </c>
      <c r="J200" s="408">
        <f t="shared" si="40"/>
        <v>-0.10251638693533399</v>
      </c>
      <c r="K200" s="736">
        <f>E200</f>
        <v>6127315.6299999999</v>
      </c>
      <c r="L200" s="100"/>
    </row>
    <row r="201" spans="1:12" x14ac:dyDescent="0.25">
      <c r="A201" s="696" t="str">
        <f t="shared" si="61"/>
        <v>Central City Improvement District</v>
      </c>
      <c r="B201" s="621"/>
      <c r="C201" s="734"/>
      <c r="D201" s="734"/>
      <c r="E201" s="734"/>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16307827.890000001</v>
      </c>
      <c r="F203" s="734">
        <v>409121.10000000027</v>
      </c>
      <c r="G203" s="734">
        <v>13272407.530000003</v>
      </c>
      <c r="H203" s="734">
        <f>E203/12*12</f>
        <v>16307827.890000001</v>
      </c>
      <c r="I203" s="408">
        <f>G203-H203</f>
        <v>-3035420.3599999975</v>
      </c>
      <c r="J203" s="408">
        <f>IF(I203=0,"",I203/H203)</f>
        <v>-0.1861327198493016</v>
      </c>
      <c r="K203" s="736">
        <f>E203</f>
        <v>16307827.890000001</v>
      </c>
      <c r="L203" s="100"/>
    </row>
    <row r="204" spans="1:12" x14ac:dyDescent="0.25">
      <c r="A204" s="696" t="str">
        <f t="shared" si="61"/>
        <v>Regional Planning and Development</v>
      </c>
      <c r="B204" s="621"/>
      <c r="C204" s="734"/>
      <c r="D204" s="734"/>
      <c r="E204" s="734"/>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60865585.68999996</v>
      </c>
      <c r="F205" s="734">
        <v>19925471.809999991</v>
      </c>
      <c r="G205" s="734">
        <v>64661112.830000013</v>
      </c>
      <c r="H205" s="734">
        <f>E205/12*12</f>
        <v>60865585.689999968</v>
      </c>
      <c r="I205" s="408">
        <f>G205-H205</f>
        <v>3795527.1400000453</v>
      </c>
      <c r="J205" s="408">
        <f>IF(I205=0,"",I205/H205)</f>
        <v>6.2359165642985652E-2</v>
      </c>
      <c r="K205" s="736">
        <f>E205</f>
        <v>60865585.68999996</v>
      </c>
      <c r="L205" s="100"/>
    </row>
    <row r="206" spans="1:12" x14ac:dyDescent="0.25">
      <c r="A206" s="696" t="str">
        <f t="shared" si="6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145687800.29999995</v>
      </c>
      <c r="F209" s="612">
        <f t="shared" si="64"/>
        <v>-2101139.629999998</v>
      </c>
      <c r="G209" s="612">
        <f t="shared" si="64"/>
        <v>228573128.04000002</v>
      </c>
      <c r="H209" s="612">
        <f t="shared" si="64"/>
        <v>145687800.29999995</v>
      </c>
      <c r="I209" s="612">
        <f t="shared" si="39"/>
        <v>82885327.740000069</v>
      </c>
      <c r="J209" s="612">
        <f t="shared" si="40"/>
        <v>0.56892428583122823</v>
      </c>
      <c r="K209" s="615">
        <f>SUM(K210:K213)</f>
        <v>145687800.29999995</v>
      </c>
      <c r="L209" s="100"/>
    </row>
    <row r="210" spans="1:12" x14ac:dyDescent="0.25">
      <c r="A210" s="696" t="str">
        <f t="shared" si="61"/>
        <v>Public Transport</v>
      </c>
      <c r="B210" s="621"/>
      <c r="C210" s="734">
        <v>5924719.6900000004</v>
      </c>
      <c r="D210" s="734">
        <v>10010366.51</v>
      </c>
      <c r="E210" s="734">
        <v>10018474.700000001</v>
      </c>
      <c r="F210" s="734">
        <v>-51858.03000000005</v>
      </c>
      <c r="G210" s="734">
        <v>6517951.5900000008</v>
      </c>
      <c r="H210" s="734">
        <f>E210/12*12</f>
        <v>10018474.700000001</v>
      </c>
      <c r="I210" s="408">
        <f t="shared" si="39"/>
        <v>-3500523.1100000003</v>
      </c>
      <c r="J210" s="408">
        <f t="shared" si="40"/>
        <v>-0.34940679243318346</v>
      </c>
      <c r="K210" s="736">
        <f>E210</f>
        <v>10018474.700000001</v>
      </c>
      <c r="L210" s="100"/>
    </row>
    <row r="211" spans="1:12" x14ac:dyDescent="0.25">
      <c r="A211" s="696" t="str">
        <f t="shared" si="6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131200448.76999995</v>
      </c>
      <c r="F212" s="734">
        <v>-2113380.1599999978</v>
      </c>
      <c r="G212" s="734">
        <v>219631268.08000001</v>
      </c>
      <c r="H212" s="734">
        <f t="shared" ref="H212:H213" si="65">E212/12*12</f>
        <v>131200448.76999995</v>
      </c>
      <c r="I212" s="408">
        <f t="shared" si="39"/>
        <v>88430819.310000062</v>
      </c>
      <c r="J212" s="408">
        <f t="shared" si="40"/>
        <v>0.67401308561850348</v>
      </c>
      <c r="K212" s="736">
        <f>E212</f>
        <v>131200448.76999995</v>
      </c>
      <c r="L212" s="100"/>
    </row>
    <row r="213" spans="1:12" x14ac:dyDescent="0.25">
      <c r="A213" s="696" t="str">
        <f t="shared" si="61"/>
        <v>Taxi Ranks</v>
      </c>
      <c r="B213" s="621"/>
      <c r="C213" s="734">
        <v>5758341.3100000005</v>
      </c>
      <c r="D213" s="734">
        <v>4056467.8300000005</v>
      </c>
      <c r="E213" s="734">
        <v>4468876.830000001</v>
      </c>
      <c r="F213" s="734">
        <v>64098.55999999999</v>
      </c>
      <c r="G213" s="734">
        <v>2423908.37</v>
      </c>
      <c r="H213" s="734">
        <f t="shared" si="65"/>
        <v>4468876.830000001</v>
      </c>
      <c r="I213" s="408">
        <f t="shared" si="39"/>
        <v>-2044968.4600000009</v>
      </c>
      <c r="J213" s="408">
        <f t="shared" si="40"/>
        <v>-0.45760233226208663</v>
      </c>
      <c r="K213" s="736">
        <f>E213</f>
        <v>4468876.830000001</v>
      </c>
      <c r="L213" s="100"/>
    </row>
    <row r="214" spans="1:12" x14ac:dyDescent="0.25">
      <c r="A214" s="608" t="str">
        <f t="shared" si="61"/>
        <v>Environmental protection</v>
      </c>
      <c r="B214" s="621"/>
      <c r="C214" s="612">
        <f t="shared" ref="C214:K214" si="66">SUM(C215:C220)</f>
        <v>16833333</v>
      </c>
      <c r="D214" s="612">
        <f t="shared" si="66"/>
        <v>18206432.420000002</v>
      </c>
      <c r="E214" s="612">
        <f t="shared" si="66"/>
        <v>17256662.239999998</v>
      </c>
      <c r="F214" s="612">
        <f t="shared" si="66"/>
        <v>1828449.74</v>
      </c>
      <c r="G214" s="612">
        <f t="shared" si="66"/>
        <v>20388692.149999999</v>
      </c>
      <c r="H214" s="612">
        <f t="shared" si="66"/>
        <v>17256662.239999998</v>
      </c>
      <c r="I214" s="612">
        <f t="shared" si="39"/>
        <v>3132029.91</v>
      </c>
      <c r="J214" s="612">
        <f t="shared" si="40"/>
        <v>0.1814968541680167</v>
      </c>
      <c r="K214" s="615">
        <f t="shared" si="66"/>
        <v>17256662.239999998</v>
      </c>
      <c r="L214" s="100"/>
    </row>
    <row r="215" spans="1:12" x14ac:dyDescent="0.25">
      <c r="A215" s="696" t="str">
        <f t="shared" si="61"/>
        <v>Biodiversity and Landscape</v>
      </c>
      <c r="B215" s="621"/>
      <c r="C215" s="734"/>
      <c r="D215" s="734"/>
      <c r="E215" s="734"/>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3708427.8</v>
      </c>
      <c r="F218" s="734">
        <v>366392.58</v>
      </c>
      <c r="G218" s="734">
        <v>4966902.9399999995</v>
      </c>
      <c r="H218" s="734">
        <f t="shared" ref="H218:H219" si="67">E218/12*12</f>
        <v>3708427.8</v>
      </c>
      <c r="I218" s="408">
        <f>G218-H218</f>
        <v>1258475.1399999997</v>
      </c>
      <c r="J218" s="408">
        <f>IF(I218=0,"",I218/H218)</f>
        <v>0.33935543790282224</v>
      </c>
      <c r="K218" s="736">
        <f>E218</f>
        <v>3708427.8</v>
      </c>
      <c r="L218" s="100"/>
    </row>
    <row r="219" spans="1:12" x14ac:dyDescent="0.25">
      <c r="A219" s="696" t="str">
        <f t="shared" si="61"/>
        <v>Pollution Control</v>
      </c>
      <c r="B219" s="621"/>
      <c r="C219" s="734">
        <v>12993402</v>
      </c>
      <c r="D219" s="734">
        <v>14102055.100000001</v>
      </c>
      <c r="E219" s="734">
        <v>13548234.439999999</v>
      </c>
      <c r="F219" s="734">
        <v>1462057.16</v>
      </c>
      <c r="G219" s="734">
        <v>15421789.209999999</v>
      </c>
      <c r="H219" s="734">
        <f t="shared" si="67"/>
        <v>13548234.439999999</v>
      </c>
      <c r="I219" s="408">
        <f>G219-H219</f>
        <v>1873554.7699999996</v>
      </c>
      <c r="J219" s="408">
        <f>IF(I219=0,"",I219/H219)</f>
        <v>0.13828774356520507</v>
      </c>
      <c r="K219" s="736">
        <f>E219</f>
        <v>13548234.439999999</v>
      </c>
      <c r="L219" s="100"/>
    </row>
    <row r="220" spans="1:12" x14ac:dyDescent="0.25">
      <c r="A220" s="696" t="str">
        <f t="shared" si="61"/>
        <v>Soil Conservation</v>
      </c>
      <c r="B220" s="621"/>
      <c r="C220" s="734"/>
      <c r="D220" s="734"/>
      <c r="E220" s="734"/>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3324833832.5200005</v>
      </c>
      <c r="F221" s="606">
        <f t="shared" si="68"/>
        <v>263884760.57000005</v>
      </c>
      <c r="G221" s="606">
        <f t="shared" si="68"/>
        <v>3319269122.9999995</v>
      </c>
      <c r="H221" s="606">
        <f t="shared" si="68"/>
        <v>3324833832.5200005</v>
      </c>
      <c r="I221" s="606">
        <f t="shared" si="68"/>
        <v>-5564709.5200019926</v>
      </c>
      <c r="J221" s="606">
        <f t="shared" si="40"/>
        <v>-1.6736804906079524E-3</v>
      </c>
      <c r="K221" s="607">
        <f>K222+K226+K230+K235</f>
        <v>3324833832.5200005</v>
      </c>
      <c r="L221" s="100"/>
    </row>
    <row r="222" spans="1:12" x14ac:dyDescent="0.25">
      <c r="A222" s="608" t="str">
        <f t="shared" si="61"/>
        <v>Energy sources</v>
      </c>
      <c r="B222" s="621"/>
      <c r="C222" s="612">
        <f t="shared" ref="C222:K222" si="69">SUM(C223:C225)</f>
        <v>1813418646.7900004</v>
      </c>
      <c r="D222" s="612">
        <f t="shared" si="69"/>
        <v>2021215276.45</v>
      </c>
      <c r="E222" s="612">
        <f t="shared" si="69"/>
        <v>2012098959.1500006</v>
      </c>
      <c r="F222" s="612">
        <f t="shared" si="69"/>
        <v>102053406.09000009</v>
      </c>
      <c r="G222" s="612">
        <f t="shared" si="69"/>
        <v>2024037236.279999</v>
      </c>
      <c r="H222" s="612">
        <f t="shared" si="69"/>
        <v>2012098959.1500003</v>
      </c>
      <c r="I222" s="612">
        <f t="shared" si="39"/>
        <v>11938277.129998684</v>
      </c>
      <c r="J222" s="612">
        <f t="shared" si="40"/>
        <v>5.9332455174281986E-3</v>
      </c>
      <c r="K222" s="615">
        <f t="shared" si="69"/>
        <v>2012098959.1500006</v>
      </c>
      <c r="L222" s="100"/>
    </row>
    <row r="223" spans="1:12" x14ac:dyDescent="0.25">
      <c r="A223" s="696" t="str">
        <f t="shared" si="61"/>
        <v xml:space="preserve">Electricity </v>
      </c>
      <c r="B223" s="621"/>
      <c r="C223" s="734">
        <v>1781064131.3200004</v>
      </c>
      <c r="D223" s="734">
        <v>1998122240</v>
      </c>
      <c r="E223" s="734">
        <v>1992131683.3700006</v>
      </c>
      <c r="F223" s="734">
        <v>95616357.64000009</v>
      </c>
      <c r="G223" s="734">
        <v>2002127889.6399989</v>
      </c>
      <c r="H223" s="734">
        <f t="shared" ref="H223:H224" si="70">E223/12*12</f>
        <v>1992131683.3700004</v>
      </c>
      <c r="I223" s="408">
        <f t="shared" si="39"/>
        <v>9996206.2699985504</v>
      </c>
      <c r="J223" s="408">
        <f t="shared" si="40"/>
        <v>5.017844128199605E-3</v>
      </c>
      <c r="K223" s="736">
        <f>E223</f>
        <v>1992131683.3700006</v>
      </c>
      <c r="L223" s="100"/>
    </row>
    <row r="224" spans="1:12" x14ac:dyDescent="0.25">
      <c r="A224" s="696" t="str">
        <f t="shared" ref="A224:A246" si="71">A102</f>
        <v>Street Lighting and Signal Systems</v>
      </c>
      <c r="B224" s="621"/>
      <c r="C224" s="734">
        <v>32354515.469999999</v>
      </c>
      <c r="D224" s="734">
        <v>23093036.449999999</v>
      </c>
      <c r="E224" s="734">
        <v>19967275.780000001</v>
      </c>
      <c r="F224" s="734">
        <v>6437048.4500000011</v>
      </c>
      <c r="G224" s="734">
        <v>21909346.640000001</v>
      </c>
      <c r="H224" s="734">
        <f t="shared" si="70"/>
        <v>19967275.780000001</v>
      </c>
      <c r="I224" s="408">
        <f>G224-H224</f>
        <v>1942070.8599999994</v>
      </c>
      <c r="J224" s="408">
        <f>IF(I224=0,"",I224/H224)</f>
        <v>9.7262685275537331E-2</v>
      </c>
      <c r="K224" s="736">
        <f>E224</f>
        <v>19967275.780000001</v>
      </c>
      <c r="L224" s="100"/>
    </row>
    <row r="225" spans="1:12" x14ac:dyDescent="0.25">
      <c r="A225" s="696" t="str">
        <f t="shared" si="71"/>
        <v>Nonelectric Energy</v>
      </c>
      <c r="B225" s="621"/>
      <c r="C225" s="734"/>
      <c r="D225" s="734"/>
      <c r="E225" s="734"/>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901141267.64000058</v>
      </c>
      <c r="F226" s="612">
        <f t="shared" si="72"/>
        <v>84767004.510000005</v>
      </c>
      <c r="G226" s="612">
        <f t="shared" si="72"/>
        <v>916954818.55999994</v>
      </c>
      <c r="H226" s="612">
        <f t="shared" si="72"/>
        <v>901141267.64000058</v>
      </c>
      <c r="I226" s="612">
        <f t="shared" si="39"/>
        <v>15813550.919999361</v>
      </c>
      <c r="J226" s="612">
        <f t="shared" si="40"/>
        <v>1.7548359494636706E-2</v>
      </c>
      <c r="K226" s="615">
        <f t="shared" si="72"/>
        <v>901141267.64000058</v>
      </c>
      <c r="L226" s="100"/>
    </row>
    <row r="227" spans="1:12" x14ac:dyDescent="0.25">
      <c r="A227" s="696" t="str">
        <f t="shared" si="71"/>
        <v>Water Treatment</v>
      </c>
      <c r="B227" s="621"/>
      <c r="C227" s="734"/>
      <c r="D227" s="734"/>
      <c r="E227" s="734"/>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901141267.64000058</v>
      </c>
      <c r="F228" s="734">
        <v>84767004.510000005</v>
      </c>
      <c r="G228" s="734">
        <v>916954818.55999994</v>
      </c>
      <c r="H228" s="734">
        <f>E228/12*12</f>
        <v>901141267.64000058</v>
      </c>
      <c r="I228" s="408">
        <f>G228-H228</f>
        <v>15813550.919999361</v>
      </c>
      <c r="J228" s="408">
        <f>IF(I228=0,"",I228/H228)</f>
        <v>1.7548359494636706E-2</v>
      </c>
      <c r="K228" s="736">
        <f>E228</f>
        <v>901141267.64000058</v>
      </c>
      <c r="L228" s="100"/>
    </row>
    <row r="229" spans="1:12" x14ac:dyDescent="0.25">
      <c r="A229" s="696" t="str">
        <f t="shared" si="71"/>
        <v>Water Storage</v>
      </c>
      <c r="B229" s="621"/>
      <c r="C229" s="734"/>
      <c r="D229" s="734"/>
      <c r="E229" s="734"/>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3">SUM(C231:C234)</f>
        <v>258354772.04000005</v>
      </c>
      <c r="D230" s="612">
        <f t="shared" si="73"/>
        <v>319854782.68395203</v>
      </c>
      <c r="E230" s="612">
        <f t="shared" si="73"/>
        <v>290155578.20000005</v>
      </c>
      <c r="F230" s="612">
        <f t="shared" si="73"/>
        <v>61164870.329999983</v>
      </c>
      <c r="G230" s="612">
        <f t="shared" si="73"/>
        <v>259410583.79999998</v>
      </c>
      <c r="H230" s="612">
        <f t="shared" si="73"/>
        <v>290155578.20000005</v>
      </c>
      <c r="I230" s="612">
        <f t="shared" si="39"/>
        <v>-30744994.400000066</v>
      </c>
      <c r="J230" s="612">
        <f t="shared" si="40"/>
        <v>-0.10596037681139456</v>
      </c>
      <c r="K230" s="615">
        <f t="shared" si="73"/>
        <v>290155578.20000005</v>
      </c>
      <c r="L230" s="100"/>
    </row>
    <row r="231" spans="1:12" x14ac:dyDescent="0.25">
      <c r="A231" s="696" t="str">
        <f t="shared" si="71"/>
        <v>Public Toilets</v>
      </c>
      <c r="B231" s="621"/>
      <c r="C231" s="734">
        <v>6791651</v>
      </c>
      <c r="D231" s="734">
        <v>7558582.4799999995</v>
      </c>
      <c r="E231" s="734">
        <v>7870182.9299999997</v>
      </c>
      <c r="F231" s="734">
        <v>389386.50999999995</v>
      </c>
      <c r="G231" s="734">
        <v>2973339.84</v>
      </c>
      <c r="H231" s="734">
        <f t="shared" ref="H231:H233" si="74">E231/12*12</f>
        <v>7870182.9299999997</v>
      </c>
      <c r="I231" s="408">
        <f t="shared" si="39"/>
        <v>-4896843.09</v>
      </c>
      <c r="J231" s="408">
        <f t="shared" si="40"/>
        <v>-0.62220194035566079</v>
      </c>
      <c r="K231" s="736">
        <f>E231</f>
        <v>7870182.9299999997</v>
      </c>
      <c r="L231" s="100"/>
    </row>
    <row r="232" spans="1:12" x14ac:dyDescent="0.25">
      <c r="A232" s="696" t="str">
        <f t="shared" si="71"/>
        <v>Sewerage</v>
      </c>
      <c r="B232" s="621"/>
      <c r="C232" s="734">
        <v>227706920.57000005</v>
      </c>
      <c r="D232" s="734">
        <v>257636183.80395201</v>
      </c>
      <c r="E232" s="734">
        <v>227642904.90000004</v>
      </c>
      <c r="F232" s="734">
        <v>58556097.139999986</v>
      </c>
      <c r="G232" s="734">
        <v>229689128.57999998</v>
      </c>
      <c r="H232" s="734">
        <f t="shared" si="74"/>
        <v>227642904.90000004</v>
      </c>
      <c r="I232" s="408">
        <f t="shared" si="39"/>
        <v>2046223.6799999475</v>
      </c>
      <c r="J232" s="408">
        <f t="shared" si="40"/>
        <v>8.9887434923518559E-3</v>
      </c>
      <c r="K232" s="736">
        <f>E232</f>
        <v>227642904.90000004</v>
      </c>
      <c r="L232" s="100"/>
    </row>
    <row r="233" spans="1:12" x14ac:dyDescent="0.25">
      <c r="A233" s="696" t="str">
        <f t="shared" si="71"/>
        <v>Storm Water Management</v>
      </c>
      <c r="B233" s="621"/>
      <c r="C233" s="734">
        <v>23856200.469999995</v>
      </c>
      <c r="D233" s="734">
        <v>54660016.400000021</v>
      </c>
      <c r="E233" s="734">
        <v>54642490.370000005</v>
      </c>
      <c r="F233" s="734">
        <v>2219386.6800000002</v>
      </c>
      <c r="G233" s="734">
        <v>26748115.380000006</v>
      </c>
      <c r="H233" s="734">
        <f t="shared" si="74"/>
        <v>54642490.370000005</v>
      </c>
      <c r="I233" s="408">
        <f>G233-H233</f>
        <v>-27894374.989999998</v>
      </c>
      <c r="J233" s="408">
        <f>IF(I233=0,"",I233/H233)</f>
        <v>-0.51048872042835469</v>
      </c>
      <c r="K233" s="736">
        <f>E233</f>
        <v>54642490.370000005</v>
      </c>
      <c r="L233" s="100"/>
    </row>
    <row r="234" spans="1:12" x14ac:dyDescent="0.25">
      <c r="A234" s="696" t="str">
        <f t="shared" si="71"/>
        <v>Waste Water Treatment</v>
      </c>
      <c r="B234" s="621"/>
      <c r="C234" s="734"/>
      <c r="D234" s="734"/>
      <c r="E234" s="734"/>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5">SUM(C236:C239)</f>
        <v>120357955.18000001</v>
      </c>
      <c r="D235" s="612">
        <f t="shared" si="75"/>
        <v>129059828.59580451</v>
      </c>
      <c r="E235" s="612">
        <f t="shared" si="75"/>
        <v>121438027.52999994</v>
      </c>
      <c r="F235" s="612">
        <f t="shared" si="75"/>
        <v>15899479.639999999</v>
      </c>
      <c r="G235" s="612">
        <f t="shared" si="75"/>
        <v>118866484.35999997</v>
      </c>
      <c r="H235" s="612">
        <f t="shared" si="75"/>
        <v>121438027.52999994</v>
      </c>
      <c r="I235" s="612">
        <f t="shared" si="39"/>
        <v>-2571543.169999972</v>
      </c>
      <c r="J235" s="612">
        <f t="shared" si="40"/>
        <v>-2.1175765304362344E-2</v>
      </c>
      <c r="K235" s="612">
        <f>SUM(K236:K239)</f>
        <v>121438027.52999994</v>
      </c>
      <c r="L235" s="100"/>
    </row>
    <row r="236" spans="1:12" x14ac:dyDescent="0.25">
      <c r="A236" s="696" t="str">
        <f t="shared" si="71"/>
        <v>Recycling</v>
      </c>
      <c r="B236" s="621"/>
      <c r="C236" s="734"/>
      <c r="D236" s="734"/>
      <c r="E236" s="734"/>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12417869.460000001</v>
      </c>
      <c r="F237" s="734">
        <v>1161848.57</v>
      </c>
      <c r="G237" s="734">
        <v>8422986.0199999996</v>
      </c>
      <c r="H237" s="734">
        <f t="shared" ref="H237:H238" si="76">E237/12*12</f>
        <v>12417869.460000001</v>
      </c>
      <c r="I237" s="408">
        <f>G237-H237</f>
        <v>-3994883.4400000013</v>
      </c>
      <c r="J237" s="408">
        <f>IF(I237=0,"",I237/H237)</f>
        <v>-0.321704415791145</v>
      </c>
      <c r="K237" s="736">
        <f>E237</f>
        <v>12417869.460000001</v>
      </c>
      <c r="L237" s="100"/>
    </row>
    <row r="238" spans="1:12" x14ac:dyDescent="0.25">
      <c r="A238" s="696" t="str">
        <f t="shared" si="71"/>
        <v>Solid Waste Removal</v>
      </c>
      <c r="B238" s="621"/>
      <c r="C238" s="734">
        <v>103650262</v>
      </c>
      <c r="D238" s="734">
        <v>115620715.34580451</v>
      </c>
      <c r="E238" s="734">
        <v>109020158.06999995</v>
      </c>
      <c r="F238" s="734">
        <v>14737631.069999998</v>
      </c>
      <c r="G238" s="734">
        <v>110443498.33999997</v>
      </c>
      <c r="H238" s="734">
        <f t="shared" si="76"/>
        <v>109020158.06999995</v>
      </c>
      <c r="I238" s="408">
        <f>G238-H238</f>
        <v>1423340.2700000256</v>
      </c>
      <c r="J238" s="408">
        <f>IF(I238=0,"",I238/H238)</f>
        <v>1.3055753130408448E-2</v>
      </c>
      <c r="K238" s="736">
        <f>E238</f>
        <v>109020158.06999995</v>
      </c>
      <c r="L238" s="100"/>
    </row>
    <row r="239" spans="1:12" x14ac:dyDescent="0.25">
      <c r="A239" s="696" t="str">
        <f t="shared" si="71"/>
        <v>Street Cleaning</v>
      </c>
      <c r="B239" s="415"/>
      <c r="C239" s="734"/>
      <c r="D239" s="734"/>
      <c r="E239" s="734"/>
      <c r="F239" s="734"/>
      <c r="G239" s="734"/>
      <c r="H239" s="734"/>
      <c r="I239" s="408">
        <f t="shared" si="39"/>
        <v>0</v>
      </c>
      <c r="J239" s="408" t="str">
        <f t="shared" si="40"/>
        <v/>
      </c>
      <c r="K239" s="736"/>
      <c r="L239" s="100"/>
    </row>
    <row r="240" spans="1:12" x14ac:dyDescent="0.25">
      <c r="A240" s="414" t="str">
        <f t="shared" si="71"/>
        <v>Other</v>
      </c>
      <c r="B240" s="415"/>
      <c r="C240" s="612">
        <f t="shared" ref="C240:K240" si="77">SUM(C241:C246)</f>
        <v>72379861.560000002</v>
      </c>
      <c r="D240" s="612">
        <f t="shared" si="77"/>
        <v>70459108.670000017</v>
      </c>
      <c r="E240" s="612">
        <f t="shared" si="77"/>
        <v>68177155</v>
      </c>
      <c r="F240" s="612">
        <f t="shared" si="77"/>
        <v>1544010.4</v>
      </c>
      <c r="G240" s="612">
        <f t="shared" si="77"/>
        <v>55024336.379999995</v>
      </c>
      <c r="H240" s="612">
        <f t="shared" si="77"/>
        <v>68177155</v>
      </c>
      <c r="I240" s="612">
        <f t="shared" si="39"/>
        <v>-13152818.620000005</v>
      </c>
      <c r="J240" s="612">
        <f t="shared" si="40"/>
        <v>-0.19292120095067042</v>
      </c>
      <c r="K240" s="615">
        <f t="shared" si="77"/>
        <v>68177155</v>
      </c>
      <c r="L240" s="100"/>
    </row>
    <row r="241" spans="1:12" x14ac:dyDescent="0.25">
      <c r="A241" s="608" t="str">
        <f t="shared" si="71"/>
        <v>Abattoirs</v>
      </c>
      <c r="B241" s="415"/>
      <c r="C241" s="734"/>
      <c r="D241" s="734"/>
      <c r="E241" s="734"/>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21862975.799999997</v>
      </c>
      <c r="F242" s="734">
        <v>2204556.89</v>
      </c>
      <c r="G242" s="734">
        <v>19386597.979999997</v>
      </c>
      <c r="H242" s="734">
        <f t="shared" ref="H242:H246" si="78">E242/12*12</f>
        <v>21862975.799999997</v>
      </c>
      <c r="I242" s="408">
        <f t="shared" si="39"/>
        <v>-2476377.8200000003</v>
      </c>
      <c r="J242" s="408">
        <f t="shared" si="40"/>
        <v>-0.1132681041525921</v>
      </c>
      <c r="K242" s="736">
        <f>E242</f>
        <v>21862975.799999997</v>
      </c>
      <c r="L242" s="100"/>
    </row>
    <row r="243" spans="1:12" x14ac:dyDescent="0.25">
      <c r="A243" s="608" t="str">
        <f t="shared" si="71"/>
        <v xml:space="preserve">Forestry </v>
      </c>
      <c r="B243" s="415"/>
      <c r="C243" s="734">
        <v>10860245.560000001</v>
      </c>
      <c r="D243" s="734">
        <v>5678262.9500000011</v>
      </c>
      <c r="E243" s="734">
        <v>5676418.4500000011</v>
      </c>
      <c r="F243" s="734">
        <v>231316.7</v>
      </c>
      <c r="G243" s="734">
        <v>1268581.4600000004</v>
      </c>
      <c r="H243" s="734">
        <f t="shared" si="78"/>
        <v>5676418.4500000011</v>
      </c>
      <c r="I243" s="408">
        <f>G243-H243</f>
        <v>-4407836.99</v>
      </c>
      <c r="J243" s="408">
        <f>IF(I243=0,"",I243/H243)</f>
        <v>-0.77651727560712147</v>
      </c>
      <c r="K243" s="736">
        <f>E243</f>
        <v>5676418.4500000011</v>
      </c>
      <c r="L243" s="100"/>
    </row>
    <row r="244" spans="1:12" x14ac:dyDescent="0.25">
      <c r="A244" s="608" t="str">
        <f t="shared" si="71"/>
        <v>Licensing and Regulation</v>
      </c>
      <c r="B244" s="415"/>
      <c r="C244" s="734">
        <v>5860897</v>
      </c>
      <c r="D244" s="734">
        <v>6302166.4400000004</v>
      </c>
      <c r="E244" s="734">
        <v>6203742.8500000024</v>
      </c>
      <c r="F244" s="734">
        <v>321361.19999999995</v>
      </c>
      <c r="G244" s="734">
        <v>4080051.5300000003</v>
      </c>
      <c r="H244" s="734">
        <f t="shared" si="78"/>
        <v>6203742.8500000024</v>
      </c>
      <c r="I244" s="408">
        <f t="shared" si="39"/>
        <v>-2123691.3200000022</v>
      </c>
      <c r="J244" s="408">
        <f t="shared" si="40"/>
        <v>-0.34232420191304375</v>
      </c>
      <c r="K244" s="736">
        <f>E244</f>
        <v>6203742.8500000024</v>
      </c>
      <c r="L244" s="100"/>
    </row>
    <row r="245" spans="1:12" x14ac:dyDescent="0.25">
      <c r="A245" s="608" t="str">
        <f t="shared" si="71"/>
        <v>Markets</v>
      </c>
      <c r="B245" s="415"/>
      <c r="C245" s="734">
        <v>29783152</v>
      </c>
      <c r="D245" s="734">
        <v>31542840.339999996</v>
      </c>
      <c r="E245" s="734">
        <v>30567253.569999997</v>
      </c>
      <c r="F245" s="734">
        <v>-607619.52</v>
      </c>
      <c r="G245" s="734">
        <v>27616837.549999997</v>
      </c>
      <c r="H245" s="734">
        <f t="shared" si="78"/>
        <v>30567253.569999993</v>
      </c>
      <c r="I245" s="408">
        <f>G245-H245</f>
        <v>-2950416.0199999958</v>
      </c>
      <c r="J245" s="408">
        <f>IF(I245=0,"",I245/H245)</f>
        <v>-9.6522116821632281E-2</v>
      </c>
      <c r="K245" s="736">
        <f>E245</f>
        <v>30567253.569999997</v>
      </c>
      <c r="L245" s="100"/>
    </row>
    <row r="246" spans="1:12" x14ac:dyDescent="0.25">
      <c r="A246" s="608" t="str">
        <f t="shared" si="71"/>
        <v>Tourism</v>
      </c>
      <c r="B246" s="415"/>
      <c r="C246" s="734">
        <v>3553123</v>
      </c>
      <c r="D246" s="734">
        <v>3050646.6500000004</v>
      </c>
      <c r="E246" s="734">
        <v>3866764.33</v>
      </c>
      <c r="F246" s="734">
        <v>-605604.87000000011</v>
      </c>
      <c r="G246" s="734">
        <v>2672267.8600000003</v>
      </c>
      <c r="H246" s="734">
        <f t="shared" si="78"/>
        <v>3866764.33</v>
      </c>
      <c r="I246" s="408">
        <f>G246-H246</f>
        <v>-1194496.4699999997</v>
      </c>
      <c r="J246" s="408">
        <f>IF(I246=0,"",I246/H246)</f>
        <v>-0.30891369839444022</v>
      </c>
      <c r="K246" s="736">
        <f>E246</f>
        <v>3866764.33</v>
      </c>
      <c r="L246" s="100"/>
    </row>
    <row r="247" spans="1:12" x14ac:dyDescent="0.25">
      <c r="A247" s="616" t="str">
        <f>"Total "&amp;A127</f>
        <v>Total Expenditure - Functional</v>
      </c>
      <c r="B247" s="415">
        <v>3</v>
      </c>
      <c r="C247" s="546">
        <f t="shared" ref="C247:I247" si="79">C128+C148+C197+C221+C240</f>
        <v>5545120282.000001</v>
      </c>
      <c r="D247" s="546">
        <f t="shared" si="79"/>
        <v>5636479723.2493496</v>
      </c>
      <c r="E247" s="546">
        <f t="shared" si="79"/>
        <v>5540064810.2600002</v>
      </c>
      <c r="F247" s="546">
        <f t="shared" si="79"/>
        <v>361636674.53999996</v>
      </c>
      <c r="G247" s="546">
        <f t="shared" si="79"/>
        <v>5048591301.5500011</v>
      </c>
      <c r="H247" s="546">
        <f t="shared" si="79"/>
        <v>5540064810.2600002</v>
      </c>
      <c r="I247" s="546">
        <f t="shared" si="79"/>
        <v>-491473508.71000028</v>
      </c>
      <c r="J247" s="546">
        <f>IF(I247=0,"",I247/H247)</f>
        <v>-8.8712591917662967E-2</v>
      </c>
      <c r="K247" s="598">
        <f>K128+K148+K197+K221+K240</f>
        <v>5540064810.2600002</v>
      </c>
      <c r="L247" s="100"/>
    </row>
    <row r="248" spans="1:12" x14ac:dyDescent="0.25">
      <c r="A248" s="622" t="str">
        <f>result</f>
        <v>Surplus/ (Deficit) for the year</v>
      </c>
      <c r="B248" s="623"/>
      <c r="C248" s="76">
        <f t="shared" ref="C248:H248" si="80">C125-C247</f>
        <v>553128996.99999905</v>
      </c>
      <c r="D248" s="76">
        <f t="shared" si="80"/>
        <v>715457748.1585083</v>
      </c>
      <c r="E248" s="76">
        <f t="shared" si="80"/>
        <v>1062530963.2399998</v>
      </c>
      <c r="F248" s="76">
        <f t="shared" si="80"/>
        <v>83794113.420000017</v>
      </c>
      <c r="G248" s="76">
        <f t="shared" si="80"/>
        <v>823618809.05999851</v>
      </c>
      <c r="H248" s="76">
        <f t="shared" si="80"/>
        <v>1062530963.2399998</v>
      </c>
      <c r="I248" s="635">
        <f>G248-H248</f>
        <v>-238912154.18000126</v>
      </c>
      <c r="J248" s="635">
        <f>IF(I248=0,"",I248/H248)</f>
        <v>-0.22485194544494119</v>
      </c>
      <c r="K248" s="234">
        <f>K125-K247</f>
        <v>1062530963.2399998</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29" t="s">
        <v>1220</v>
      </c>
      <c r="B253" s="1029"/>
      <c r="C253" s="1029"/>
      <c r="D253" s="1029"/>
      <c r="E253" s="1029"/>
      <c r="F253" s="1029"/>
      <c r="G253" s="1029"/>
      <c r="H253" s="1029"/>
      <c r="I253" s="1029"/>
      <c r="J253" s="1029"/>
      <c r="K253" s="1029"/>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307972737.60891342</v>
      </c>
      <c r="I256" s="629">
        <f>I125-'C4-FinPerf RE'!I53</f>
        <v>-730385662.89000034</v>
      </c>
      <c r="J256" s="630"/>
      <c r="K256" s="629">
        <f>K125-'C4-FinPerf RE'!K53</f>
        <v>307972737.60891342</v>
      </c>
    </row>
    <row r="257" spans="1:11" x14ac:dyDescent="0.25">
      <c r="A257" s="81" t="s">
        <v>185</v>
      </c>
      <c r="B257" s="64"/>
      <c r="C257" s="629">
        <f>C247-'C4-FinPerf RE'!C36</f>
        <v>610761843</v>
      </c>
      <c r="D257" s="629">
        <f>D247-'C4-FinPerf RE'!D36</f>
        <v>307972734.30077457</v>
      </c>
      <c r="E257" s="629">
        <f>E247-'C4-FinPerf RE'!E36</f>
        <v>307972737.6514225</v>
      </c>
      <c r="F257" s="629">
        <f>F247-'C4-FinPerf RE'!F36</f>
        <v>0</v>
      </c>
      <c r="G257" s="629">
        <f>G247-'C4-FinPerf RE'!G36</f>
        <v>0</v>
      </c>
      <c r="H257" s="629">
        <f>H247-'C4-FinPerf RE'!H36</f>
        <v>307972737.6514225</v>
      </c>
      <c r="I257" s="629">
        <f>I247-'C4-FinPerf RE'!I36</f>
        <v>-307972737.65142369</v>
      </c>
      <c r="J257" s="630"/>
      <c r="K257" s="629">
        <f>K247-'C4-FinPerf RE'!K36</f>
        <v>307972737.6514225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218D51EC-0F4A-4AD1-9284-4A6742605F61}">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2016-12-13T05:59:10Z</cp:lastPrinted>
  <dcterms:created xsi:type="dcterms:W3CDTF">2004-04-07T16:19:08Z</dcterms:created>
  <dcterms:modified xsi:type="dcterms:W3CDTF">2020-07-28T13:19:58Z</dcterms:modified>
</cp:coreProperties>
</file>