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bonisom\Documents\"/>
    </mc:Choice>
  </mc:AlternateContent>
  <workbookProtection workbookPassword="FB84" lockStructure="1"/>
  <bookViews>
    <workbookView xWindow="0" yWindow="0" windowWidth="28800" windowHeight="12300" tabRatio="792" activeTab="5"/>
  </bookViews>
  <sheets>
    <sheet name="START" sheetId="328" r:id="rId1"/>
    <sheet name="Instructions" sheetId="329" r:id="rId2"/>
    <sheet name="Template names" sheetId="100" state="veryHidden" r:id="rId3"/>
    <sheet name="Lookup and lists" sheetId="322" state="veryHidden" r:id="rId4"/>
    <sheet name="Org structure" sheetId="332" r:id="rId5"/>
    <sheet name="Contacts" sheetId="331" r:id="rId6"/>
    <sheet name="C1-Sum" sheetId="267" r:id="rId7"/>
    <sheet name="C2-FinPerf SC" sheetId="241" r:id="rId8"/>
    <sheet name="C2C" sheetId="330" r:id="rId9"/>
    <sheet name="C3-FinPerf V" sheetId="272" r:id="rId10"/>
    <sheet name="C3C" sheetId="323" r:id="rId11"/>
    <sheet name="C4-FinPerf RE" sheetId="182" r:id="rId12"/>
    <sheet name="C5-Capex" sheetId="268" r:id="rId13"/>
    <sheet name="C5C" sheetId="324" r:id="rId14"/>
    <sheet name="C6-FinPos" sheetId="178" r:id="rId15"/>
    <sheet name="C7-CFlow" sheetId="177" r:id="rId16"/>
    <sheet name="SC1" sheetId="251" r:id="rId17"/>
    <sheet name="SC2" sheetId="174" r:id="rId18"/>
    <sheet name="SC3" sheetId="175" r:id="rId19"/>
    <sheet name="SC4" sheetId="173" r:id="rId20"/>
    <sheet name="SC5" sheetId="238" r:id="rId21"/>
    <sheet name="SC6" sheetId="270" r:id="rId22"/>
    <sheet name="SC7(1)" sheetId="269" r:id="rId23"/>
    <sheet name="SC7(2)" sheetId="334" r:id="rId24"/>
    <sheet name="SC8" sheetId="318" r:id="rId25"/>
    <sheet name="SC9" sheetId="317" r:id="rId26"/>
    <sheet name="SC10" sheetId="181" r:id="rId27"/>
    <sheet name="SC11" sheetId="183" r:id="rId28"/>
    <sheet name="SC12" sheetId="180" r:id="rId29"/>
    <sheet name="SC13a" sheetId="242" r:id="rId30"/>
    <sheet name="SC13b" sheetId="326" r:id="rId31"/>
    <sheet name="SC13c" sheetId="325" r:id="rId32"/>
    <sheet name="SC13d" sheetId="333" r:id="rId33"/>
    <sheet name="SC13e" sheetId="335" r:id="rId34"/>
    <sheet name="SC71charts" sheetId="172" r:id="rId35"/>
  </sheets>
  <externalReferences>
    <externalReference r:id="rId36"/>
    <externalReference r:id="rId37"/>
    <externalReference r:id="rId38"/>
    <externalReference r:id="rId39"/>
    <externalReference r:id="rId40"/>
  </externalReferences>
  <definedNames>
    <definedName name="_ADJ1" localSheetId="4">'[1]Template names'!#REF!</definedName>
    <definedName name="_ADJ1" localSheetId="32">'Template names'!#REF!</definedName>
    <definedName name="_ADJ1" localSheetId="33">'Template names'!#REF!</definedName>
    <definedName name="_ADJ1" localSheetId="23">'Template names'!#REF!</definedName>
    <definedName name="_ADJ1">'Template names'!#REF!</definedName>
    <definedName name="_ADJ10" localSheetId="1">'Template names'!#REF!</definedName>
    <definedName name="_ADJ10" localSheetId="32">'[1]Template names'!#REF!</definedName>
    <definedName name="_ADJ10" localSheetId="33">'[1]Template names'!#REF!</definedName>
    <definedName name="_ADJ10" localSheetId="23">'[1]Template names'!#REF!</definedName>
    <definedName name="_ADJ10">'[1]Template names'!#REF!</definedName>
    <definedName name="_ADJ11" localSheetId="4">'[1]Template names'!#REF!</definedName>
    <definedName name="_ADJ11" localSheetId="32">'Template names'!#REF!</definedName>
    <definedName name="_ADJ11" localSheetId="33">'Template names'!#REF!</definedName>
    <definedName name="_ADJ11" localSheetId="23">'Template names'!#REF!</definedName>
    <definedName name="_ADJ11">'Template names'!#REF!</definedName>
    <definedName name="_ADJ12" localSheetId="4">'[1]Template names'!#REF!</definedName>
    <definedName name="_ADJ12" localSheetId="32">'Template names'!#REF!</definedName>
    <definedName name="_ADJ12" localSheetId="33">'Template names'!#REF!</definedName>
    <definedName name="_ADJ12" localSheetId="23">'Template names'!#REF!</definedName>
    <definedName name="_ADJ12">'Template names'!#REF!</definedName>
    <definedName name="_ADJ13" localSheetId="4">'[1]Template names'!#REF!</definedName>
    <definedName name="_ADJ13" localSheetId="32">'Template names'!#REF!</definedName>
    <definedName name="_ADJ13" localSheetId="33">'Template names'!#REF!</definedName>
    <definedName name="_ADJ13" localSheetId="23">'Template names'!#REF!</definedName>
    <definedName name="_ADJ13">'Template names'!#REF!</definedName>
    <definedName name="_ADJ14" localSheetId="4">'[1]Template names'!#REF!</definedName>
    <definedName name="_ADJ14" localSheetId="32">'Template names'!#REF!</definedName>
    <definedName name="_ADJ14" localSheetId="33">'Template names'!#REF!</definedName>
    <definedName name="_ADJ14" localSheetId="23">'Template names'!#REF!</definedName>
    <definedName name="_ADJ14">'Template names'!#REF!</definedName>
    <definedName name="_ADJ16" localSheetId="4">'[1]Template names'!#REF!</definedName>
    <definedName name="_ADJ16" localSheetId="32">'Template names'!#REF!</definedName>
    <definedName name="_ADJ16" localSheetId="33">'Template names'!#REF!</definedName>
    <definedName name="_ADJ16" localSheetId="23">'Template names'!#REF!</definedName>
    <definedName name="_ADJ16">'Template names'!#REF!</definedName>
    <definedName name="_ADJ17" localSheetId="4">'[1]Template names'!#REF!</definedName>
    <definedName name="_ADJ17" localSheetId="32">'Template names'!#REF!</definedName>
    <definedName name="_ADJ17" localSheetId="33">'Template names'!#REF!</definedName>
    <definedName name="_ADJ17" localSheetId="23">'Template names'!#REF!</definedName>
    <definedName name="_ADJ17">'Template names'!#REF!</definedName>
    <definedName name="_ADJ18" localSheetId="4">'[1]Template names'!#REF!</definedName>
    <definedName name="_ADJ18" localSheetId="32">'Template names'!#REF!</definedName>
    <definedName name="_ADJ18" localSheetId="33">'Template names'!#REF!</definedName>
    <definedName name="_ADJ18" localSheetId="23">'Template names'!#REF!</definedName>
    <definedName name="_ADJ18">'Template names'!#REF!</definedName>
    <definedName name="_ADJ19" localSheetId="4">'[1]Template names'!#REF!</definedName>
    <definedName name="_ADJ19" localSheetId="32">'Template names'!#REF!</definedName>
    <definedName name="_ADJ19" localSheetId="33">'Template names'!#REF!</definedName>
    <definedName name="_ADJ19" localSheetId="23">'Template names'!#REF!</definedName>
    <definedName name="_ADJ19">'Template names'!#REF!</definedName>
    <definedName name="_ADJ2" localSheetId="1">'Template names'!#REF!</definedName>
    <definedName name="_ADJ2" localSheetId="32">'[1]Template names'!#REF!</definedName>
    <definedName name="_ADJ2" localSheetId="33">'[1]Template names'!#REF!</definedName>
    <definedName name="_ADJ2" localSheetId="23">'[1]Template names'!#REF!</definedName>
    <definedName name="_ADJ2">'[1]Template names'!#REF!</definedName>
    <definedName name="_ADJ3" localSheetId="1">'Template names'!#REF!</definedName>
    <definedName name="_ADJ3" localSheetId="32">'[1]Template names'!#REF!</definedName>
    <definedName name="_ADJ3" localSheetId="33">'[1]Template names'!#REF!</definedName>
    <definedName name="_ADJ3" localSheetId="23">'[1]Template names'!#REF!</definedName>
    <definedName name="_ADJ3">'[1]Template names'!#REF!</definedName>
    <definedName name="_ADJ4" localSheetId="1">'Template names'!#REF!</definedName>
    <definedName name="_ADJ4" localSheetId="32">'[1]Template names'!#REF!</definedName>
    <definedName name="_ADJ4" localSheetId="33">'[1]Template names'!#REF!</definedName>
    <definedName name="_ADJ4" localSheetId="23">'[1]Template names'!#REF!</definedName>
    <definedName name="_ADJ4">'[1]Template names'!#REF!</definedName>
    <definedName name="_ADJ5" localSheetId="1">'Template names'!#REF!</definedName>
    <definedName name="_ADJ5" localSheetId="32">'[1]Template names'!#REF!</definedName>
    <definedName name="_ADJ5" localSheetId="33">'[1]Template names'!#REF!</definedName>
    <definedName name="_ADJ5" localSheetId="23">'[1]Template names'!#REF!</definedName>
    <definedName name="_ADJ5">'[1]Template names'!#REF!</definedName>
    <definedName name="_ADJ6" localSheetId="1">'Template names'!#REF!</definedName>
    <definedName name="_ADJ6" localSheetId="32">'[1]Template names'!#REF!</definedName>
    <definedName name="_ADJ6" localSheetId="33">'[1]Template names'!#REF!</definedName>
    <definedName name="_ADJ6" localSheetId="23">'[1]Template names'!#REF!</definedName>
    <definedName name="_ADJ6">'[1]Template names'!#REF!</definedName>
    <definedName name="_ADJ7" localSheetId="1">'Template names'!#REF!</definedName>
    <definedName name="_ADJ7" localSheetId="32">'[1]Template names'!#REF!</definedName>
    <definedName name="_ADJ7" localSheetId="33">'[1]Template names'!#REF!</definedName>
    <definedName name="_ADJ7" localSheetId="23">'[1]Template names'!#REF!</definedName>
    <definedName name="_ADJ7">'[1]Template names'!#REF!</definedName>
    <definedName name="_ADJ8" localSheetId="1">'Template names'!#REF!</definedName>
    <definedName name="_ADJ8" localSheetId="32">'[1]Template names'!#REF!</definedName>
    <definedName name="_ADJ8" localSheetId="33">'[1]Template names'!#REF!</definedName>
    <definedName name="_ADJ8" localSheetId="23">'[1]Template names'!#REF!</definedName>
    <definedName name="_ADJ8">'[1]Template names'!#REF!</definedName>
    <definedName name="_ADJ9" localSheetId="1">'Template names'!#REF!</definedName>
    <definedName name="_ADJ9" localSheetId="32">'[1]Template names'!#REF!</definedName>
    <definedName name="_ADJ9" localSheetId="33">'[1]Template names'!#REF!</definedName>
    <definedName name="_ADJ9" localSheetId="23">'[1]Template names'!#REF!</definedName>
    <definedName name="_ADJ9">'[1]Template names'!#REF!</definedName>
    <definedName name="_ccf04" localSheetId="32">#REF!</definedName>
    <definedName name="_ccf04" localSheetId="33">#REF!</definedName>
    <definedName name="_ccf04" localSheetId="23">#REF!</definedName>
    <definedName name="_ccf04">#REF!</definedName>
    <definedName name="_ccf05" localSheetId="32">#REF!</definedName>
    <definedName name="_ccf05" localSheetId="33">#REF!</definedName>
    <definedName name="_ccf05" localSheetId="23">#REF!</definedName>
    <definedName name="_ccf05">#REF!</definedName>
    <definedName name="_ccf06" localSheetId="33">#REF!</definedName>
    <definedName name="_ccf06">#REF!</definedName>
    <definedName name="_ccf07" localSheetId="33">#REF!</definedName>
    <definedName name="_ccf07">#REF!</definedName>
    <definedName name="_ccf08" localSheetId="33">#REF!</definedName>
    <definedName name="_ccf08">#REF!</definedName>
    <definedName name="_ccf09" localSheetId="33">#REF!</definedName>
    <definedName name="_ccf09">#REF!</definedName>
    <definedName name="_ccf10" localSheetId="33">#REF!</definedName>
    <definedName name="_ccf10">#REF!</definedName>
    <definedName name="_ccf11" localSheetId="33">#REF!</definedName>
    <definedName name="_ccf11">#REF!</definedName>
    <definedName name="_ccf12" localSheetId="33">#REF!</definedName>
    <definedName name="_ccf12">#REF!</definedName>
    <definedName name="_ccf13" localSheetId="33">#REF!</definedName>
    <definedName name="_ccf13">#REF!</definedName>
    <definedName name="_cpi1">'[2]Balance Sheet'!$D$50</definedName>
    <definedName name="_cpi2">'[2]Balance Sheet'!$E$50</definedName>
    <definedName name="_cpi3">'[2]Balance Sheet'!$F$50</definedName>
    <definedName name="_ecf04" localSheetId="32">#REF!</definedName>
    <definedName name="_ecf04" localSheetId="33">#REF!</definedName>
    <definedName name="_ecf04" localSheetId="23">#REF!</definedName>
    <definedName name="_ecf04">#REF!</definedName>
    <definedName name="_ecf05" localSheetId="32">#REF!</definedName>
    <definedName name="_ecf05" localSheetId="33">#REF!</definedName>
    <definedName name="_ecf05" localSheetId="23">#REF!</definedName>
    <definedName name="_ecf05">#REF!</definedName>
    <definedName name="_ecf06" localSheetId="33">#REF!</definedName>
    <definedName name="_ecf06">#REF!</definedName>
    <definedName name="_ecf07" localSheetId="33">#REF!</definedName>
    <definedName name="_ecf07">#REF!</definedName>
    <definedName name="_ecf08" localSheetId="33">#REF!</definedName>
    <definedName name="_ecf08">#REF!</definedName>
    <definedName name="_ecf09" localSheetId="33">#REF!</definedName>
    <definedName name="_ecf09">#REF!</definedName>
    <definedName name="_ecf10" localSheetId="33">#REF!</definedName>
    <definedName name="_ecf10">#REF!</definedName>
    <definedName name="_ecf11" localSheetId="33">#REF!</definedName>
    <definedName name="_ecf11">#REF!</definedName>
    <definedName name="_ecf12" localSheetId="33">#REF!</definedName>
    <definedName name="_ecf12">#REF!</definedName>
    <definedName name="_ecf13" localSheetId="33">#REF!</definedName>
    <definedName name="_ecf13">#REF!</definedName>
    <definedName name="_emp04" localSheetId="32">#REF!</definedName>
    <definedName name="_emp04" localSheetId="33">#REF!</definedName>
    <definedName name="_emp04" localSheetId="23">#REF!</definedName>
    <definedName name="_emp04">#REF!</definedName>
    <definedName name="_emp05" localSheetId="32">#REF!</definedName>
    <definedName name="_emp05" localSheetId="33">#REF!</definedName>
    <definedName name="_emp05" localSheetId="23">#REF!</definedName>
    <definedName name="_emp05">#REF!</definedName>
    <definedName name="_emp06" localSheetId="33">#REF!</definedName>
    <definedName name="_emp06">#REF!</definedName>
    <definedName name="_emp07" localSheetId="33">#REF!</definedName>
    <definedName name="_emp07">#REF!</definedName>
    <definedName name="_emp08" localSheetId="33">#REF!</definedName>
    <definedName name="_emp08">#REF!</definedName>
    <definedName name="_emp09" localSheetId="33">#REF!</definedName>
    <definedName name="_emp09">#REF!</definedName>
    <definedName name="_emp10" localSheetId="33">#REF!</definedName>
    <definedName name="_emp10">#REF!</definedName>
    <definedName name="_emp11" localSheetId="33">#REF!</definedName>
    <definedName name="_emp11">#REF!</definedName>
    <definedName name="_emp12" localSheetId="33">#REF!</definedName>
    <definedName name="_emp12">#REF!</definedName>
    <definedName name="_emp13" localSheetId="33">#REF!</definedName>
    <definedName name="_emp13">#REF!</definedName>
    <definedName name="_emp14" localSheetId="33">#REF!</definedName>
    <definedName name="_emp14">#REF!</definedName>
    <definedName name="_emp15" localSheetId="33">#REF!</definedName>
    <definedName name="_emp15">#REF!</definedName>
    <definedName name="_emp16" localSheetId="33">#REF!</definedName>
    <definedName name="_emp16">#REF!</definedName>
    <definedName name="_emp17" localSheetId="33">#REF!</definedName>
    <definedName name="_emp17">#REF!</definedName>
    <definedName name="_emp18" localSheetId="33">#REF!</definedName>
    <definedName name="_emp18">#REF!</definedName>
    <definedName name="_emp19" localSheetId="33">#REF!</definedName>
    <definedName name="_emp19">#REF!</definedName>
    <definedName name="_emp20" localSheetId="33">#REF!</definedName>
    <definedName name="_emp20">#REF!</definedName>
    <definedName name="_emp21" localSheetId="33">#REF!</definedName>
    <definedName name="_emp21">#REF!</definedName>
    <definedName name="_xlnm._FilterDatabase" localSheetId="4" hidden="1">'Org structure'!$A$1:$D$166</definedName>
    <definedName name="_inf1" localSheetId="32">#REF!</definedName>
    <definedName name="_inf1" localSheetId="33">#REF!</definedName>
    <definedName name="_inf1" localSheetId="23">#REF!</definedName>
    <definedName name="_inf1">#REF!</definedName>
    <definedName name="_inf2" localSheetId="32">#REF!</definedName>
    <definedName name="_inf2" localSheetId="33">#REF!</definedName>
    <definedName name="_inf2" localSheetId="23">#REF!</definedName>
    <definedName name="_inf2">#REF!</definedName>
    <definedName name="_inf3" localSheetId="32">#REF!</definedName>
    <definedName name="_inf3" localSheetId="33">#REF!</definedName>
    <definedName name="_inf3" localSheetId="23">#REF!</definedName>
    <definedName name="_inf3">#REF!</definedName>
    <definedName name="_int04" localSheetId="32">#REF!</definedName>
    <definedName name="_int04" localSheetId="33">#REF!</definedName>
    <definedName name="_int04" localSheetId="23">#REF!</definedName>
    <definedName name="_int04">#REF!</definedName>
    <definedName name="_int05" localSheetId="32">#REF!</definedName>
    <definedName name="_int05" localSheetId="33">#REF!</definedName>
    <definedName name="_int05" localSheetId="23">#REF!</definedName>
    <definedName name="_int05">#REF!</definedName>
    <definedName name="_int06" localSheetId="33">#REF!</definedName>
    <definedName name="_int06">#REF!</definedName>
    <definedName name="_int07" localSheetId="33">#REF!</definedName>
    <definedName name="_int07">#REF!</definedName>
    <definedName name="_int08" localSheetId="33">#REF!</definedName>
    <definedName name="_int08">#REF!</definedName>
    <definedName name="_int09" localSheetId="33">#REF!</definedName>
    <definedName name="_int09">#REF!</definedName>
    <definedName name="_int10" localSheetId="33">#REF!</definedName>
    <definedName name="_int10">#REF!</definedName>
    <definedName name="_int11" localSheetId="33">#REF!</definedName>
    <definedName name="_int11">#REF!</definedName>
    <definedName name="_int12" localSheetId="33">#REF!</definedName>
    <definedName name="_int12">#REF!</definedName>
    <definedName name="_int13" localSheetId="33">#REF!</definedName>
    <definedName name="_int13">#REF!</definedName>
    <definedName name="_int14" localSheetId="33">#REF!</definedName>
    <definedName name="_int14">#REF!</definedName>
    <definedName name="_int15" localSheetId="33">#REF!</definedName>
    <definedName name="_int15">#REF!</definedName>
    <definedName name="_int16" localSheetId="33">#REF!</definedName>
    <definedName name="_int16">#REF!</definedName>
    <definedName name="_int17" localSheetId="33">#REF!</definedName>
    <definedName name="_int17">#REF!</definedName>
    <definedName name="_int18" localSheetId="33">#REF!</definedName>
    <definedName name="_int18">#REF!</definedName>
    <definedName name="_int19" localSheetId="33">#REF!</definedName>
    <definedName name="_int19">#REF!</definedName>
    <definedName name="_int20" localSheetId="33">#REF!</definedName>
    <definedName name="_int20">#REF!</definedName>
    <definedName name="_inv04" localSheetId="32">#REF!</definedName>
    <definedName name="_inv04" localSheetId="33">#REF!</definedName>
    <definedName name="_inv04" localSheetId="23">#REF!</definedName>
    <definedName name="_inv04">#REF!</definedName>
    <definedName name="_inv05" localSheetId="32">#REF!</definedName>
    <definedName name="_inv05" localSheetId="33">#REF!</definedName>
    <definedName name="_inv05" localSheetId="23">#REF!</definedName>
    <definedName name="_inv05">#REF!</definedName>
    <definedName name="_inv06" localSheetId="33">#REF!</definedName>
    <definedName name="_inv06">#REF!</definedName>
    <definedName name="_inv07" localSheetId="33">#REF!</definedName>
    <definedName name="_inv07">#REF!</definedName>
    <definedName name="_inv08" localSheetId="33">#REF!</definedName>
    <definedName name="_inv08">#REF!</definedName>
    <definedName name="_inv09" localSheetId="33">#REF!</definedName>
    <definedName name="_inv09">#REF!</definedName>
    <definedName name="_inv10" localSheetId="33">#REF!</definedName>
    <definedName name="_inv10">#REF!</definedName>
    <definedName name="_inv11" localSheetId="33">#REF!</definedName>
    <definedName name="_inv11">#REF!</definedName>
    <definedName name="_inv12" localSheetId="33">#REF!</definedName>
    <definedName name="_inv12">#REF!</definedName>
    <definedName name="_inv13" localSheetId="33">#REF!</definedName>
    <definedName name="_inv13">#REF!</definedName>
    <definedName name="_MEB1" localSheetId="4">'[1]Template names'!#REF!</definedName>
    <definedName name="_MEB1" localSheetId="32">'Template names'!#REF!</definedName>
    <definedName name="_MEB1" localSheetId="33">'Template names'!#REF!</definedName>
    <definedName name="_MEB1" localSheetId="23">'Template names'!#REF!</definedName>
    <definedName name="_MEB1">'Template names'!#REF!</definedName>
    <definedName name="_MEB10" localSheetId="4">'[1]Template names'!#REF!</definedName>
    <definedName name="_MEB10" localSheetId="32">'Template names'!#REF!</definedName>
    <definedName name="_MEB10" localSheetId="33">'Template names'!#REF!</definedName>
    <definedName name="_MEB10" localSheetId="23">'Template names'!#REF!</definedName>
    <definedName name="_MEB10">'Template names'!#REF!</definedName>
    <definedName name="_MEB11" localSheetId="4">'[1]Template names'!#REF!</definedName>
    <definedName name="_MEB11" localSheetId="32">'Template names'!#REF!</definedName>
    <definedName name="_MEB11" localSheetId="33">'Template names'!#REF!</definedName>
    <definedName name="_MEB11" localSheetId="23">'Template names'!#REF!</definedName>
    <definedName name="_MEB11">'Template names'!#REF!</definedName>
    <definedName name="_MEB12" localSheetId="4">'[1]Template names'!#REF!</definedName>
    <definedName name="_MEB12" localSheetId="32">'Template names'!#REF!</definedName>
    <definedName name="_MEB12" localSheetId="33">'Template names'!#REF!</definedName>
    <definedName name="_MEB12" localSheetId="23">'Template names'!#REF!</definedName>
    <definedName name="_MEB12">'Template names'!#REF!</definedName>
    <definedName name="_MEB2" localSheetId="4">'[1]Template names'!#REF!</definedName>
    <definedName name="_MEB2" localSheetId="32">'Template names'!#REF!</definedName>
    <definedName name="_MEB2" localSheetId="33">'Template names'!#REF!</definedName>
    <definedName name="_MEB2" localSheetId="23">'Template names'!#REF!</definedName>
    <definedName name="_MEB2">'Template names'!#REF!</definedName>
    <definedName name="_MEB3" localSheetId="4">'[1]Template names'!#REF!</definedName>
    <definedName name="_MEB3" localSheetId="32">'Template names'!#REF!</definedName>
    <definedName name="_MEB3" localSheetId="33">'Template names'!#REF!</definedName>
    <definedName name="_MEB3" localSheetId="23">'Template names'!#REF!</definedName>
    <definedName name="_MEB3">'Template names'!#REF!</definedName>
    <definedName name="_MEB4" localSheetId="4">'[1]Template names'!#REF!</definedName>
    <definedName name="_MEB4" localSheetId="32">'Template names'!#REF!</definedName>
    <definedName name="_MEB4" localSheetId="33">'Template names'!#REF!</definedName>
    <definedName name="_MEB4" localSheetId="23">'Template names'!#REF!</definedName>
    <definedName name="_MEB4">'Template names'!#REF!</definedName>
    <definedName name="_MEB5" localSheetId="4">'[1]Template names'!#REF!</definedName>
    <definedName name="_MEB5" localSheetId="32">'Template names'!#REF!</definedName>
    <definedName name="_MEB5" localSheetId="33">'Template names'!#REF!</definedName>
    <definedName name="_MEB5" localSheetId="23">'Template names'!#REF!</definedName>
    <definedName name="_MEB5">'Template names'!#REF!</definedName>
    <definedName name="_MEB6" localSheetId="4">'[1]Template names'!#REF!</definedName>
    <definedName name="_MEB6" localSheetId="32">'Template names'!#REF!</definedName>
    <definedName name="_MEB6" localSheetId="33">'Template names'!#REF!</definedName>
    <definedName name="_MEB6" localSheetId="23">'Template names'!#REF!</definedName>
    <definedName name="_MEB6">'Template names'!#REF!</definedName>
    <definedName name="_MEB7" localSheetId="4">'[1]Template names'!#REF!</definedName>
    <definedName name="_MEB7" localSheetId="32">'Template names'!#REF!</definedName>
    <definedName name="_MEB7" localSheetId="33">'Template names'!#REF!</definedName>
    <definedName name="_MEB7" localSheetId="23">'Template names'!#REF!</definedName>
    <definedName name="_MEB7">'Template names'!#REF!</definedName>
    <definedName name="_MEB8" localSheetId="4">'[1]Template names'!#REF!</definedName>
    <definedName name="_MEB8" localSheetId="32">'Template names'!#REF!</definedName>
    <definedName name="_MEB8" localSheetId="33">'Template names'!#REF!</definedName>
    <definedName name="_MEB8" localSheetId="23">'Template names'!#REF!</definedName>
    <definedName name="_MEB8">'Template names'!#REF!</definedName>
    <definedName name="_MEB9" localSheetId="4">'[1]Template names'!#REF!</definedName>
    <definedName name="_MEB9" localSheetId="32">'Template names'!#REF!</definedName>
    <definedName name="_MEB9" localSheetId="33">'Template names'!#REF!</definedName>
    <definedName name="_MEB9" localSheetId="23">'Template names'!#REF!</definedName>
    <definedName name="_MEB9">'Template names'!#REF!</definedName>
    <definedName name="_MER1" localSheetId="4">'[1]Template names'!#REF!</definedName>
    <definedName name="_MER1" localSheetId="32">'Template names'!#REF!</definedName>
    <definedName name="_MER1" localSheetId="33">'Template names'!#REF!</definedName>
    <definedName name="_MER1" localSheetId="23">'Template names'!#REF!</definedName>
    <definedName name="_MER1">'Template names'!#REF!</definedName>
    <definedName name="_MER10" localSheetId="4">'[1]Template names'!#REF!</definedName>
    <definedName name="_MER10" localSheetId="32">'Template names'!#REF!</definedName>
    <definedName name="_MER10" localSheetId="33">'Template names'!#REF!</definedName>
    <definedName name="_MER10" localSheetId="23">'Template names'!#REF!</definedName>
    <definedName name="_MER10">'Template names'!#REF!</definedName>
    <definedName name="_MER11" localSheetId="4">'[1]Template names'!#REF!</definedName>
    <definedName name="_MER11" localSheetId="32">'Template names'!#REF!</definedName>
    <definedName name="_MER11" localSheetId="33">'Template names'!#REF!</definedName>
    <definedName name="_MER11" localSheetId="23">'Template names'!#REF!</definedName>
    <definedName name="_MER11">'Template names'!#REF!</definedName>
    <definedName name="_MER2" localSheetId="4">'[1]Template names'!#REF!</definedName>
    <definedName name="_MER2" localSheetId="32">'Template names'!#REF!</definedName>
    <definedName name="_MER2" localSheetId="33">'Template names'!#REF!</definedName>
    <definedName name="_MER2" localSheetId="23">'Template names'!#REF!</definedName>
    <definedName name="_MER2">'Template names'!#REF!</definedName>
    <definedName name="_MER3" localSheetId="4">'[1]Template names'!#REF!</definedName>
    <definedName name="_MER3" localSheetId="32">'Template names'!#REF!</definedName>
    <definedName name="_MER3" localSheetId="33">'Template names'!#REF!</definedName>
    <definedName name="_MER3" localSheetId="23">'Template names'!#REF!</definedName>
    <definedName name="_MER3">'Template names'!#REF!</definedName>
    <definedName name="_MER4" localSheetId="4">'[1]Template names'!#REF!</definedName>
    <definedName name="_MER4" localSheetId="32">'Template names'!#REF!</definedName>
    <definedName name="_MER4" localSheetId="33">'Template names'!#REF!</definedName>
    <definedName name="_MER4" localSheetId="23">'Template names'!#REF!</definedName>
    <definedName name="_MER4">'Template names'!#REF!</definedName>
    <definedName name="_MER5" localSheetId="4">'[1]Template names'!#REF!</definedName>
    <definedName name="_MER5" localSheetId="32">'Template names'!#REF!</definedName>
    <definedName name="_MER5" localSheetId="33">'Template names'!#REF!</definedName>
    <definedName name="_MER5" localSheetId="23">'Template names'!#REF!</definedName>
    <definedName name="_MER5">'Template names'!#REF!</definedName>
    <definedName name="_MER6" localSheetId="4">'[1]Template names'!#REF!</definedName>
    <definedName name="_MER6" localSheetId="32">'Template names'!#REF!</definedName>
    <definedName name="_MER6" localSheetId="33">'Template names'!#REF!</definedName>
    <definedName name="_MER6" localSheetId="23">'Template names'!#REF!</definedName>
    <definedName name="_MER6">'Template names'!#REF!</definedName>
    <definedName name="_MER7" localSheetId="4">'[1]Template names'!#REF!</definedName>
    <definedName name="_MER7" localSheetId="32">'Template names'!#REF!</definedName>
    <definedName name="_MER7" localSheetId="33">'Template names'!#REF!</definedName>
    <definedName name="_MER7" localSheetId="23">'Template names'!#REF!</definedName>
    <definedName name="_MER7">'Template names'!#REF!</definedName>
    <definedName name="_MER8" localSheetId="4">'[1]Template names'!#REF!</definedName>
    <definedName name="_MER8" localSheetId="32">'Template names'!#REF!</definedName>
    <definedName name="_MER8" localSheetId="33">'Template names'!#REF!</definedName>
    <definedName name="_MER8" localSheetId="23">'Template names'!#REF!</definedName>
    <definedName name="_MER8">'Template names'!#REF!</definedName>
    <definedName name="_MER9" localSheetId="4">'[1]Template names'!#REF!</definedName>
    <definedName name="_MER9" localSheetId="32">'Template names'!#REF!</definedName>
    <definedName name="_MER9" localSheetId="33">'Template names'!#REF!</definedName>
    <definedName name="_MER9" localSheetId="23">'Template names'!#REF!</definedName>
    <definedName name="_MER9">'Template names'!#REF!</definedName>
    <definedName name="_rat03" localSheetId="32">#REF!</definedName>
    <definedName name="_rat03" localSheetId="33">#REF!</definedName>
    <definedName name="_rat03" localSheetId="23">#REF!</definedName>
    <definedName name="_rat03">#REF!</definedName>
    <definedName name="_rat04" localSheetId="32">#REF!</definedName>
    <definedName name="_rat04" localSheetId="33">#REF!</definedName>
    <definedName name="_rat04" localSheetId="23">#REF!</definedName>
    <definedName name="_rat04">#REF!</definedName>
    <definedName name="_rat05" localSheetId="32">#REF!</definedName>
    <definedName name="_rat05" localSheetId="33">#REF!</definedName>
    <definedName name="_rat05" localSheetId="23">#REF!</definedName>
    <definedName name="_rat05">#REF!</definedName>
    <definedName name="_rat06" localSheetId="32">#REF!</definedName>
    <definedName name="_rat06" localSheetId="33">#REF!</definedName>
    <definedName name="_rat06" localSheetId="23">#REF!</definedName>
    <definedName name="_rat06">#REF!</definedName>
    <definedName name="_rat07" localSheetId="32">#REF!</definedName>
    <definedName name="_rat07" localSheetId="33">#REF!</definedName>
    <definedName name="_rat07" localSheetId="23">#REF!</definedName>
    <definedName name="_rat07">#REF!</definedName>
    <definedName name="_rat08" localSheetId="32">#REF!</definedName>
    <definedName name="_rat08" localSheetId="33">#REF!</definedName>
    <definedName name="_rat08" localSheetId="23">#REF!</definedName>
    <definedName name="_rat08">#REF!</definedName>
    <definedName name="_rat09" localSheetId="32">#REF!</definedName>
    <definedName name="_rat09" localSheetId="33">#REF!</definedName>
    <definedName name="_rat09" localSheetId="23">#REF!</definedName>
    <definedName name="_rat09">#REF!</definedName>
    <definedName name="_rat10" localSheetId="32">#REF!</definedName>
    <definedName name="_rat10" localSheetId="33">#REF!</definedName>
    <definedName name="_rat10" localSheetId="23">#REF!</definedName>
    <definedName name="_rat10">#REF!</definedName>
    <definedName name="_rat11" localSheetId="32">#REF!</definedName>
    <definedName name="_rat11" localSheetId="33">#REF!</definedName>
    <definedName name="_rat11" localSheetId="23">#REF!</definedName>
    <definedName name="_rat11">#REF!</definedName>
    <definedName name="_rat12" localSheetId="32">#REF!</definedName>
    <definedName name="_rat12" localSheetId="33">#REF!</definedName>
    <definedName name="_rat12" localSheetId="23">#REF!</definedName>
    <definedName name="_rat12">#REF!</definedName>
    <definedName name="_rat13" localSheetId="32">#REF!</definedName>
    <definedName name="_rat13" localSheetId="33">#REF!</definedName>
    <definedName name="_rat13" localSheetId="23">#REF!</definedName>
    <definedName name="_rat13">#REF!</definedName>
    <definedName name="_rgr05" localSheetId="32">#REF!</definedName>
    <definedName name="_rgr05" localSheetId="33">#REF!</definedName>
    <definedName name="_rgr05" localSheetId="23">#REF!</definedName>
    <definedName name="_rgr05">#REF!</definedName>
    <definedName name="_rgr06" localSheetId="33">#REF!</definedName>
    <definedName name="_rgr06">#REF!</definedName>
    <definedName name="_rgr07" localSheetId="33">#REF!</definedName>
    <definedName name="_rgr07">#REF!</definedName>
    <definedName name="_rgr08" localSheetId="33">#REF!</definedName>
    <definedName name="_rgr08">#REF!</definedName>
    <definedName name="_rgr09" localSheetId="33">#REF!</definedName>
    <definedName name="_rgr09">#REF!</definedName>
    <definedName name="_rgr10" localSheetId="33">#REF!</definedName>
    <definedName name="_rgr10">#REF!</definedName>
    <definedName name="_rgr11" localSheetId="33">#REF!</definedName>
    <definedName name="_rgr11">#REF!</definedName>
    <definedName name="_rgr12" localSheetId="33">#REF!</definedName>
    <definedName name="_rgr12">#REF!</definedName>
    <definedName name="_rgr13" localSheetId="33">#REF!</definedName>
    <definedName name="_rgr13">#REF!</definedName>
    <definedName name="_rgr14" localSheetId="33">#REF!</definedName>
    <definedName name="_rgr14">#REF!</definedName>
    <definedName name="_rgr15" localSheetId="33">#REF!</definedName>
    <definedName name="_rgr15">#REF!</definedName>
    <definedName name="_rgr16" localSheetId="33">#REF!</definedName>
    <definedName name="_rgr16">#REF!</definedName>
    <definedName name="_rgr17" localSheetId="33">#REF!</definedName>
    <definedName name="_rgr17">#REF!</definedName>
    <definedName name="_rgr18" localSheetId="1">#REF!</definedName>
    <definedName name="_rgr18" localSheetId="4">#REF!</definedName>
    <definedName name="_rgr18" localSheetId="33">#REF!</definedName>
    <definedName name="_rgr18">#REF!</definedName>
    <definedName name="_rgr19" localSheetId="1">#REF!</definedName>
    <definedName name="_rgr19" localSheetId="4">#REF!</definedName>
    <definedName name="_rgr19" localSheetId="33">#REF!</definedName>
    <definedName name="_rgr19">#REF!</definedName>
    <definedName name="_rgr20" localSheetId="1">#REF!</definedName>
    <definedName name="_rgr20" localSheetId="4">#REF!</definedName>
    <definedName name="_rgr20" localSheetId="33">#REF!</definedName>
    <definedName name="_rgr20">#REF!</definedName>
    <definedName name="_rmc05" localSheetId="1">#REF!</definedName>
    <definedName name="_rmc05" localSheetId="4">#REF!</definedName>
    <definedName name="_rmc05" localSheetId="32">#REF!</definedName>
    <definedName name="_rmc05" localSheetId="33">#REF!</definedName>
    <definedName name="_rmc05" localSheetId="23">#REF!</definedName>
    <definedName name="_rmc05">#REF!</definedName>
    <definedName name="_rmc06" localSheetId="1">#REF!</definedName>
    <definedName name="_rmc06" localSheetId="4">#REF!</definedName>
    <definedName name="_rmc06" localSheetId="33">#REF!</definedName>
    <definedName name="_rmc06">#REF!</definedName>
    <definedName name="_rmc07" localSheetId="1">#REF!</definedName>
    <definedName name="_rmc07" localSheetId="4">#REF!</definedName>
    <definedName name="_rmc07" localSheetId="33">#REF!</definedName>
    <definedName name="_rmc07">#REF!</definedName>
    <definedName name="_rmc08" localSheetId="1">#REF!</definedName>
    <definedName name="_rmc08" localSheetId="4">#REF!</definedName>
    <definedName name="_rmc08" localSheetId="33">#REF!</definedName>
    <definedName name="_rmc08">#REF!</definedName>
    <definedName name="_rmc09" localSheetId="1">#REF!</definedName>
    <definedName name="_rmc09" localSheetId="4">#REF!</definedName>
    <definedName name="_rmc09" localSheetId="33">#REF!</definedName>
    <definedName name="_rmc09">#REF!</definedName>
    <definedName name="_rmc10" localSheetId="1">#REF!</definedName>
    <definedName name="_rmc10" localSheetId="4">#REF!</definedName>
    <definedName name="_rmc10" localSheetId="33">#REF!</definedName>
    <definedName name="_rmc10">#REF!</definedName>
    <definedName name="_rmc11" localSheetId="1">#REF!</definedName>
    <definedName name="_rmc11" localSheetId="4">#REF!</definedName>
    <definedName name="_rmc11" localSheetId="33">#REF!</definedName>
    <definedName name="_rmc11">#REF!</definedName>
    <definedName name="_rmc12" localSheetId="1">#REF!</definedName>
    <definedName name="_rmc12" localSheetId="4">#REF!</definedName>
    <definedName name="_rmc12" localSheetId="33">#REF!</definedName>
    <definedName name="_rmc12">#REF!</definedName>
    <definedName name="_rmc13" localSheetId="1">#REF!</definedName>
    <definedName name="_rmc13" localSheetId="4">#REF!</definedName>
    <definedName name="_rmc13" localSheetId="33">#REF!</definedName>
    <definedName name="_rmc13">#REF!</definedName>
    <definedName name="_rmc14" localSheetId="1">#REF!</definedName>
    <definedName name="_rmc14" localSheetId="4">#REF!</definedName>
    <definedName name="_rmc14" localSheetId="33">#REF!</definedName>
    <definedName name="_rmc14">#REF!</definedName>
    <definedName name="_rmc15" localSheetId="1">#REF!</definedName>
    <definedName name="_rmc15" localSheetId="4">#REF!</definedName>
    <definedName name="_rmc15" localSheetId="33">#REF!</definedName>
    <definedName name="_rmc15">#REF!</definedName>
    <definedName name="_rmc16" localSheetId="1">#REF!</definedName>
    <definedName name="_rmc16" localSheetId="4">#REF!</definedName>
    <definedName name="_rmc16" localSheetId="33">#REF!</definedName>
    <definedName name="_rmc16">#REF!</definedName>
    <definedName name="_rmc17" localSheetId="1">#REF!</definedName>
    <definedName name="_rmc17" localSheetId="4">#REF!</definedName>
    <definedName name="_rmc17" localSheetId="33">#REF!</definedName>
    <definedName name="_rmc17">#REF!</definedName>
    <definedName name="_rmc18" localSheetId="1">#REF!</definedName>
    <definedName name="_rmc18" localSheetId="4">#REF!</definedName>
    <definedName name="_rmc18" localSheetId="33">#REF!</definedName>
    <definedName name="_rmc18">#REF!</definedName>
    <definedName name="_rmc19" localSheetId="1">#REF!</definedName>
    <definedName name="_rmc19" localSheetId="4">#REF!</definedName>
    <definedName name="_rmc19" localSheetId="33">#REF!</definedName>
    <definedName name="_rmc19">#REF!</definedName>
    <definedName name="_rmc20" localSheetId="1">#REF!</definedName>
    <definedName name="_rmc20" localSheetId="4">#REF!</definedName>
    <definedName name="_rmc20" localSheetId="33">#REF!</definedName>
    <definedName name="_rmc20">#REF!</definedName>
    <definedName name="_rmc21" localSheetId="1">#REF!</definedName>
    <definedName name="_rmc21" localSheetId="4">#REF!</definedName>
    <definedName name="_rmc21" localSheetId="33">#REF!</definedName>
    <definedName name="_rmc21">#REF!</definedName>
    <definedName name="_Sch1" localSheetId="32">'Template names'!#REF!</definedName>
    <definedName name="_Sch1" localSheetId="33">'Template names'!#REF!</definedName>
    <definedName name="_Sch1" localSheetId="23">'Template names'!#REF!</definedName>
    <definedName name="_Sch1">'Template names'!#REF!</definedName>
    <definedName name="_Sch10" localSheetId="32">'Template names'!#REF!</definedName>
    <definedName name="_Sch10" localSheetId="33">'Template names'!#REF!</definedName>
    <definedName name="_Sch10" localSheetId="23">'Template names'!#REF!</definedName>
    <definedName name="_Sch10">'Template names'!#REF!</definedName>
    <definedName name="_sch11" localSheetId="32">'Template names'!#REF!</definedName>
    <definedName name="_sch11" localSheetId="33">'Template names'!#REF!</definedName>
    <definedName name="_sch11" localSheetId="23">'Template names'!#REF!</definedName>
    <definedName name="_sch11">'Template names'!#REF!</definedName>
    <definedName name="_Sch2" localSheetId="32">'Template names'!#REF!</definedName>
    <definedName name="_Sch2" localSheetId="33">'Template names'!#REF!</definedName>
    <definedName name="_Sch2" localSheetId="23">'Template names'!#REF!</definedName>
    <definedName name="_Sch2">'Template names'!#REF!</definedName>
    <definedName name="_Sch3" localSheetId="32">'Template names'!#REF!</definedName>
    <definedName name="_Sch3" localSheetId="33">'Template names'!#REF!</definedName>
    <definedName name="_Sch3" localSheetId="23">'Template names'!#REF!</definedName>
    <definedName name="_Sch3">'Template names'!#REF!</definedName>
    <definedName name="_Sch4" localSheetId="32">'Template names'!#REF!</definedName>
    <definedName name="_Sch4" localSheetId="33">'Template names'!#REF!</definedName>
    <definedName name="_Sch4" localSheetId="23">'Template names'!#REF!</definedName>
    <definedName name="_Sch4">'Template names'!#REF!</definedName>
    <definedName name="_Sch5" localSheetId="32">'Template names'!#REF!</definedName>
    <definedName name="_Sch5" localSheetId="33">'Template names'!#REF!</definedName>
    <definedName name="_Sch5" localSheetId="23">'Template names'!#REF!</definedName>
    <definedName name="_Sch5">'Template names'!#REF!</definedName>
    <definedName name="_Sch6" localSheetId="32">'Template names'!#REF!</definedName>
    <definedName name="_Sch6" localSheetId="33">'Template names'!#REF!</definedName>
    <definedName name="_Sch6" localSheetId="23">'Template names'!#REF!</definedName>
    <definedName name="_Sch6">'Template names'!#REF!</definedName>
    <definedName name="_Sch7" localSheetId="32">'Template names'!#REF!</definedName>
    <definedName name="_Sch7" localSheetId="33">'Template names'!#REF!</definedName>
    <definedName name="_Sch7" localSheetId="23">'Template names'!#REF!</definedName>
    <definedName name="_Sch7">'Template names'!#REF!</definedName>
    <definedName name="_Sch8" localSheetId="32">'Template names'!#REF!</definedName>
    <definedName name="_Sch8" localSheetId="33">'Template names'!#REF!</definedName>
    <definedName name="_Sch8" localSheetId="23">'Template names'!#REF!</definedName>
    <definedName name="_Sch8">'Template names'!#REF!</definedName>
    <definedName name="_Sch9" localSheetId="32">'Template names'!#REF!</definedName>
    <definedName name="_Sch9" localSheetId="33">'Template names'!#REF!</definedName>
    <definedName name="_Sch9" localSheetId="23">'Template names'!#REF!</definedName>
    <definedName name="_Sch9">'Template names'!#REF!</definedName>
    <definedName name="_sdc05" localSheetId="1">#REF!</definedName>
    <definedName name="_sdc05" localSheetId="4">#REF!</definedName>
    <definedName name="_sdc05" localSheetId="32">#REF!</definedName>
    <definedName name="_sdc05" localSheetId="33">#REF!</definedName>
    <definedName name="_sdc05" localSheetId="23">#REF!</definedName>
    <definedName name="_sdc05">#REF!</definedName>
    <definedName name="_sdc06" localSheetId="1">#REF!</definedName>
    <definedName name="_sdc06" localSheetId="4">#REF!</definedName>
    <definedName name="_sdc06" localSheetId="33">#REF!</definedName>
    <definedName name="_sdc06">#REF!</definedName>
    <definedName name="_sdc07" localSheetId="1">#REF!</definedName>
    <definedName name="_sdc07" localSheetId="4">#REF!</definedName>
    <definedName name="_sdc07" localSheetId="33">#REF!</definedName>
    <definedName name="_sdc07">#REF!</definedName>
    <definedName name="_sdc08" localSheetId="1">#REF!</definedName>
    <definedName name="_sdc08" localSheetId="4">#REF!</definedName>
    <definedName name="_sdc08" localSheetId="33">#REF!</definedName>
    <definedName name="_sdc08">#REF!</definedName>
    <definedName name="_sdc09" localSheetId="1">#REF!</definedName>
    <definedName name="_sdc09" localSheetId="4">#REF!</definedName>
    <definedName name="_sdc09" localSheetId="33">#REF!</definedName>
    <definedName name="_sdc09">#REF!</definedName>
    <definedName name="_sdc10" localSheetId="1">#REF!</definedName>
    <definedName name="_sdc10" localSheetId="4">#REF!</definedName>
    <definedName name="_sdc10" localSheetId="33">#REF!</definedName>
    <definedName name="_sdc10">#REF!</definedName>
    <definedName name="_sdc11" localSheetId="1">#REF!</definedName>
    <definedName name="_sdc11" localSheetId="4">#REF!</definedName>
    <definedName name="_sdc11" localSheetId="33">#REF!</definedName>
    <definedName name="_sdc11">#REF!</definedName>
    <definedName name="_sdc12" localSheetId="1">#REF!</definedName>
    <definedName name="_sdc12" localSheetId="4">#REF!</definedName>
    <definedName name="_sdc12" localSheetId="33">#REF!</definedName>
    <definedName name="_sdc12">#REF!</definedName>
    <definedName name="_sdc13" localSheetId="1">#REF!</definedName>
    <definedName name="_sdc13" localSheetId="4">#REF!</definedName>
    <definedName name="_sdc13" localSheetId="33">#REF!</definedName>
    <definedName name="_sdc13">#REF!</definedName>
    <definedName name="_sdc14" localSheetId="1">#REF!</definedName>
    <definedName name="_sdc14" localSheetId="4">#REF!</definedName>
    <definedName name="_sdc14" localSheetId="33">#REF!</definedName>
    <definedName name="_sdc14">#REF!</definedName>
    <definedName name="_sdc15" localSheetId="1">#REF!</definedName>
    <definedName name="_sdc15" localSheetId="4">#REF!</definedName>
    <definedName name="_sdc15" localSheetId="33">#REF!</definedName>
    <definedName name="_sdc15">#REF!</definedName>
    <definedName name="_sdc16" localSheetId="1">#REF!</definedName>
    <definedName name="_sdc16" localSheetId="4">#REF!</definedName>
    <definedName name="_sdc16" localSheetId="33">#REF!</definedName>
    <definedName name="_sdc16">#REF!</definedName>
    <definedName name="_sdc17" localSheetId="1">#REF!</definedName>
    <definedName name="_sdc17" localSheetId="4">#REF!</definedName>
    <definedName name="_sdc17" localSheetId="33">#REF!</definedName>
    <definedName name="_sdc17">#REF!</definedName>
    <definedName name="_sdc18" localSheetId="1">#REF!</definedName>
    <definedName name="_sdc18" localSheetId="4">#REF!</definedName>
    <definedName name="_sdc18" localSheetId="33">#REF!</definedName>
    <definedName name="_sdc18">#REF!</definedName>
    <definedName name="_sdc19" localSheetId="1">#REF!</definedName>
    <definedName name="_sdc19" localSheetId="4">#REF!</definedName>
    <definedName name="_sdc19" localSheetId="33">#REF!</definedName>
    <definedName name="_sdc19">#REF!</definedName>
    <definedName name="_sdc20" localSheetId="1">#REF!</definedName>
    <definedName name="_sdc20" localSheetId="4">#REF!</definedName>
    <definedName name="_sdc20" localSheetId="33">#REF!</definedName>
    <definedName name="_sdc20">#REF!</definedName>
    <definedName name="_wc05" localSheetId="1">#REF!</definedName>
    <definedName name="_wc05" localSheetId="4">#REF!</definedName>
    <definedName name="_wc05" localSheetId="32">#REF!</definedName>
    <definedName name="_wc05" localSheetId="33">#REF!</definedName>
    <definedName name="_wc05" localSheetId="23">#REF!</definedName>
    <definedName name="_wc05">#REF!</definedName>
    <definedName name="_wc06" localSheetId="1">#REF!</definedName>
    <definedName name="_wc06" localSheetId="4">#REF!</definedName>
    <definedName name="_wc06" localSheetId="33">#REF!</definedName>
    <definedName name="_wc06">#REF!</definedName>
    <definedName name="_wc07" localSheetId="1">#REF!</definedName>
    <definedName name="_wc07" localSheetId="4">#REF!</definedName>
    <definedName name="_wc07" localSheetId="33">#REF!</definedName>
    <definedName name="_wc07">#REF!</definedName>
    <definedName name="_wc08" localSheetId="1">#REF!</definedName>
    <definedName name="_wc08" localSheetId="4">#REF!</definedName>
    <definedName name="_wc08" localSheetId="33">#REF!</definedName>
    <definedName name="_wc08">#REF!</definedName>
    <definedName name="_wc09" localSheetId="1">#REF!</definedName>
    <definedName name="_wc09" localSheetId="4">#REF!</definedName>
    <definedName name="_wc09" localSheetId="33">#REF!</definedName>
    <definedName name="_wc09">#REF!</definedName>
    <definedName name="_wc10" localSheetId="1">#REF!</definedName>
    <definedName name="_wc10" localSheetId="4">#REF!</definedName>
    <definedName name="_wc10" localSheetId="33">#REF!</definedName>
    <definedName name="_wc10">#REF!</definedName>
    <definedName name="_wc11" localSheetId="1">#REF!</definedName>
    <definedName name="_wc11" localSheetId="4">#REF!</definedName>
    <definedName name="_wc11" localSheetId="33">#REF!</definedName>
    <definedName name="_wc11">#REF!</definedName>
    <definedName name="_wc12" localSheetId="1">#REF!</definedName>
    <definedName name="_wc12" localSheetId="4">#REF!</definedName>
    <definedName name="_wc12" localSheetId="33">#REF!</definedName>
    <definedName name="_wc12">#REF!</definedName>
    <definedName name="_wc13" localSheetId="1">#REF!</definedName>
    <definedName name="_wc13" localSheetId="4">#REF!</definedName>
    <definedName name="_wc13" localSheetId="33">#REF!</definedName>
    <definedName name="_wc13">#REF!</definedName>
    <definedName name="_wc14" localSheetId="1">#REF!</definedName>
    <definedName name="_wc14" localSheetId="4">#REF!</definedName>
    <definedName name="_wc14" localSheetId="33">#REF!</definedName>
    <definedName name="_wc14">#REF!</definedName>
    <definedName name="_wc15" localSheetId="1">#REF!</definedName>
    <definedName name="_wc15" localSheetId="4">#REF!</definedName>
    <definedName name="_wc15" localSheetId="33">#REF!</definedName>
    <definedName name="_wc15">#REF!</definedName>
    <definedName name="_wc16" localSheetId="1">#REF!</definedName>
    <definedName name="_wc16" localSheetId="4">#REF!</definedName>
    <definedName name="_wc16" localSheetId="33">#REF!</definedName>
    <definedName name="_wc16">#REF!</definedName>
    <definedName name="_wc17" localSheetId="1">#REF!</definedName>
    <definedName name="_wc17" localSheetId="4">#REF!</definedName>
    <definedName name="_wc17" localSheetId="33">#REF!</definedName>
    <definedName name="_wc17">#REF!</definedName>
    <definedName name="_wc18" localSheetId="1">#REF!</definedName>
    <definedName name="_wc18" localSheetId="4">#REF!</definedName>
    <definedName name="_wc18" localSheetId="33">#REF!</definedName>
    <definedName name="_wc18">#REF!</definedName>
    <definedName name="_wc19" localSheetId="1">#REF!</definedName>
    <definedName name="_wc19" localSheetId="4">#REF!</definedName>
    <definedName name="_wc19" localSheetId="33">#REF!</definedName>
    <definedName name="_wc19">#REF!</definedName>
    <definedName name="_wc20" localSheetId="1">#REF!</definedName>
    <definedName name="_wc20" localSheetId="4">#REF!</definedName>
    <definedName name="_wc20" localSheetId="33">#REF!</definedName>
    <definedName name="_wc20">#REF!</definedName>
    <definedName name="ADJ10plus" localSheetId="4">'[1]Template names'!#REF!</definedName>
    <definedName name="ADJ10plus" localSheetId="32">'Template names'!#REF!</definedName>
    <definedName name="ADJ10plus" localSheetId="33">'Template names'!#REF!</definedName>
    <definedName name="ADJ10plus" localSheetId="23">'Template names'!#REF!</definedName>
    <definedName name="ADJ10plus">'Template names'!#REF!</definedName>
    <definedName name="ADJ18A" localSheetId="4">'[1]Template names'!#REF!</definedName>
    <definedName name="ADJ18A" localSheetId="32">'Template names'!#REF!</definedName>
    <definedName name="ADJ18A" localSheetId="33">'Template names'!#REF!</definedName>
    <definedName name="ADJ18A" localSheetId="23">'Template names'!#REF!</definedName>
    <definedName name="ADJ18A">'Template names'!#REF!</definedName>
    <definedName name="ADJ18B" localSheetId="4">'[1]Template names'!#REF!</definedName>
    <definedName name="ADJ18B" localSheetId="32">'Template names'!#REF!</definedName>
    <definedName name="ADJ18B" localSheetId="33">'Template names'!#REF!</definedName>
    <definedName name="ADJ18B" localSheetId="23">'Template names'!#REF!</definedName>
    <definedName name="ADJ18B">'Template names'!#REF!</definedName>
    <definedName name="ADJ19B" localSheetId="4">'[1]Template names'!#REF!</definedName>
    <definedName name="ADJ19B" localSheetId="32">'Template names'!#REF!</definedName>
    <definedName name="ADJ19B" localSheetId="33">'Template names'!#REF!</definedName>
    <definedName name="ADJ19B" localSheetId="23">'Template names'!#REF!</definedName>
    <definedName name="ADJ19B">'Template names'!#REF!</definedName>
    <definedName name="ADJ8A" localSheetId="4">'[1]Template names'!#REF!</definedName>
    <definedName name="ADJ8A" localSheetId="32">'Template names'!#REF!</definedName>
    <definedName name="ADJ8A" localSheetId="33">'Template names'!#REF!</definedName>
    <definedName name="ADJ8A" localSheetId="23">'Template names'!#REF!</definedName>
    <definedName name="ADJ8A">'Template names'!#REF!</definedName>
    <definedName name="ADJ8B" localSheetId="4">'[1]Template names'!#REF!</definedName>
    <definedName name="ADJ8B" localSheetId="32">'Template names'!#REF!</definedName>
    <definedName name="ADJ8B" localSheetId="33">'Template names'!#REF!</definedName>
    <definedName name="ADJ8B" localSheetId="23">'Template names'!#REF!</definedName>
    <definedName name="ADJ8B">'Template names'!#REF!</definedName>
    <definedName name="ADJP1" localSheetId="4">'[1]Template names'!#REF!</definedName>
    <definedName name="ADJP1" localSheetId="32">'Template names'!#REF!</definedName>
    <definedName name="ADJP1" localSheetId="33">'Template names'!#REF!</definedName>
    <definedName name="ADJP1" localSheetId="23">'Template names'!#REF!</definedName>
    <definedName name="ADJP1">'Template names'!#REF!</definedName>
    <definedName name="adjsum" localSheetId="1">'Template names'!#REF!</definedName>
    <definedName name="adjsum" localSheetId="32">'[1]Template names'!#REF!</definedName>
    <definedName name="adjsum" localSheetId="33">'[1]Template names'!#REF!</definedName>
    <definedName name="adjsum" localSheetId="23">'[1]Template names'!#REF!</definedName>
    <definedName name="adjsum">'[1]Template names'!#REF!</definedName>
    <definedName name="ADJTB1" localSheetId="4">'[1]Template names'!#REF!</definedName>
    <definedName name="ADJTB1" localSheetId="32">'Template names'!#REF!</definedName>
    <definedName name="ADJTB1" localSheetId="33">'Template names'!#REF!</definedName>
    <definedName name="ADJTB1" localSheetId="23">'Template names'!#REF!</definedName>
    <definedName name="ADJTB1">'Template names'!#REF!</definedName>
    <definedName name="ADJXX" localSheetId="4">'[1]Template names'!#REF!</definedName>
    <definedName name="ADJXX" localSheetId="32">'Template names'!#REF!</definedName>
    <definedName name="ADJXX" localSheetId="33">'Template names'!#REF!</definedName>
    <definedName name="ADJXX" localSheetId="23">'Template names'!#REF!</definedName>
    <definedName name="ADJXX">'Template names'!#REF!</definedName>
    <definedName name="Approve1">'[1]Template names'!$B$100</definedName>
    <definedName name="Approve10">'[1]Template names'!$B$109</definedName>
    <definedName name="Approve2" localSheetId="4">'[1]Template names'!$B$102</definedName>
    <definedName name="Approve2">'Template names'!$B$106</definedName>
    <definedName name="Approve3" localSheetId="4">'[1]Template names'!$B$101</definedName>
    <definedName name="Approve3">'Template names'!$B$103</definedName>
    <definedName name="Approve4">'[1]Template names'!$B$103</definedName>
    <definedName name="Approve5">'[1]Template names'!$B$104</definedName>
    <definedName name="Approve6">'[1]Template names'!$B$105</definedName>
    <definedName name="Approve7">'[1]Template names'!$B$106</definedName>
    <definedName name="Approve8">'[1]Template names'!$B$107</definedName>
    <definedName name="Approve9">'[1]Template names'!$B$108</definedName>
    <definedName name="Asset_Class">'[1]Lookup and lists'!$Z$15:$Z$29</definedName>
    <definedName name="Asset_sub_class">'[1]Lookup and lists'!$AA$15:$AA$59</definedName>
    <definedName name="avelife07" localSheetId="33">#REF!</definedName>
    <definedName name="avelife07">#REF!</definedName>
    <definedName name="avelife08" localSheetId="33">#REF!</definedName>
    <definedName name="avelife08">#REF!</definedName>
    <definedName name="avelife09" localSheetId="33">#REF!</definedName>
    <definedName name="avelife09">#REF!</definedName>
    <definedName name="avelife10" localSheetId="33">#REF!</definedName>
    <definedName name="avelife10">#REF!</definedName>
    <definedName name="avelife11" localSheetId="33">#REF!</definedName>
    <definedName name="avelife11">#REF!</definedName>
    <definedName name="avelife12" localSheetId="33">#REF!</definedName>
    <definedName name="avelife12">#REF!</definedName>
    <definedName name="avelife13" localSheetId="33">#REF!</definedName>
    <definedName name="avelife13">#REF!</definedName>
    <definedName name="balloon" localSheetId="32">#REF!</definedName>
    <definedName name="balloon" localSheetId="33">#REF!</definedName>
    <definedName name="balloon" localSheetId="23">#REF!</definedName>
    <definedName name="balloon">#REF!</definedName>
    <definedName name="basedesc">'Template names'!$D$36:$D$36</definedName>
    <definedName name="Bus" localSheetId="32">#REF!</definedName>
    <definedName name="Bus" localSheetId="33">#REF!</definedName>
    <definedName name="Bus" localSheetId="23">#REF!</definedName>
    <definedName name="Bus">#REF!</definedName>
    <definedName name="capexfactor" localSheetId="32">#REF!</definedName>
    <definedName name="capexfactor" localSheetId="33">#REF!</definedName>
    <definedName name="capexfactor" localSheetId="23">#REF!</definedName>
    <definedName name="capexfactor">#REF!</definedName>
    <definedName name="capexlimit06" localSheetId="33">#REF!</definedName>
    <definedName name="capexlimit06">#REF!</definedName>
    <definedName name="capexlimit07" localSheetId="33">#REF!</definedName>
    <definedName name="capexlimit07">#REF!</definedName>
    <definedName name="capexlimit08" localSheetId="33">#REF!</definedName>
    <definedName name="capexlimit08">#REF!</definedName>
    <definedName name="capexlimit09" localSheetId="33">#REF!</definedName>
    <definedName name="capexlimit09">#REF!</definedName>
    <definedName name="capexrate04" localSheetId="32">#REF!</definedName>
    <definedName name="capexrate04" localSheetId="33">#REF!</definedName>
    <definedName name="capexrate04" localSheetId="23">#REF!</definedName>
    <definedName name="capexrate04">#REF!</definedName>
    <definedName name="capexrate05" localSheetId="32">#REF!</definedName>
    <definedName name="capexrate05" localSheetId="33">#REF!</definedName>
    <definedName name="capexrate05" localSheetId="23">#REF!</definedName>
    <definedName name="capexrate05">#REF!</definedName>
    <definedName name="capexrate06" localSheetId="33">#REF!</definedName>
    <definedName name="capexrate06">#REF!</definedName>
    <definedName name="capexrate07" localSheetId="33">#REF!</definedName>
    <definedName name="capexrate07">#REF!</definedName>
    <definedName name="capexrate08" localSheetId="33">#REF!</definedName>
    <definedName name="capexrate08">#REF!</definedName>
    <definedName name="capexrate09" localSheetId="33">#REF!</definedName>
    <definedName name="capexrate09">#REF!</definedName>
    <definedName name="capexrate10" localSheetId="33">#REF!</definedName>
    <definedName name="capexrate10">#REF!</definedName>
    <definedName name="capexrate11" localSheetId="33">#REF!</definedName>
    <definedName name="capexrate11">#REF!</definedName>
    <definedName name="capexrate12" localSheetId="33">#REF!</definedName>
    <definedName name="capexrate12">#REF!</definedName>
    <definedName name="capexrate13" localSheetId="33">#REF!</definedName>
    <definedName name="capexrate13">#REF!</definedName>
    <definedName name="capexrate14" localSheetId="33">#REF!</definedName>
    <definedName name="capexrate14">#REF!</definedName>
    <definedName name="capexrate15" localSheetId="33">#REF!</definedName>
    <definedName name="capexrate15">#REF!</definedName>
    <definedName name="capexrate16" localSheetId="33">#REF!</definedName>
    <definedName name="capexrate16">#REF!</definedName>
    <definedName name="capexrate17" localSheetId="33">#REF!</definedName>
    <definedName name="capexrate17">#REF!</definedName>
    <definedName name="capexrate18" localSheetId="33">#REF!</definedName>
    <definedName name="capexrate18">#REF!</definedName>
    <definedName name="capexrate19" localSheetId="33">#REF!</definedName>
    <definedName name="capexrate19">#REF!</definedName>
    <definedName name="capexrate20" localSheetId="33">#REF!</definedName>
    <definedName name="capexrate20">#REF!</definedName>
    <definedName name="capexrate21" localSheetId="33">#REF!</definedName>
    <definedName name="capexrate21">#REF!</definedName>
    <definedName name="Capytd" localSheetId="1">#REF!</definedName>
    <definedName name="Capytd" localSheetId="4">#REF!</definedName>
    <definedName name="Capytd">SC13a!$M$8</definedName>
    <definedName name="Cash1">'Template names'!$B$69</definedName>
    <definedName name="Cash2">'Template names'!$B$70</definedName>
    <definedName name="cfactor08" localSheetId="33">#REF!</definedName>
    <definedName name="cfactor08">#REF!</definedName>
    <definedName name="cfactor09" localSheetId="33">#REF!</definedName>
    <definedName name="cfactor09">#REF!</definedName>
    <definedName name="cfactor10" localSheetId="33">#REF!</definedName>
    <definedName name="cfactor10">#REF!</definedName>
    <definedName name="cfactor11" localSheetId="33">#REF!</definedName>
    <definedName name="cfactor11">#REF!</definedName>
    <definedName name="cfactor12" localSheetId="33">#REF!</definedName>
    <definedName name="cfactor12">#REF!</definedName>
    <definedName name="cfactor13" localSheetId="33">#REF!</definedName>
    <definedName name="cfactor13">#REF!</definedName>
    <definedName name="Consolques" localSheetId="4">'[1]Template names'!$A$95</definedName>
    <definedName name="Consolques">'Template names'!$A$75</definedName>
    <definedName name="cpix04" localSheetId="32">#REF!</definedName>
    <definedName name="cpix04" localSheetId="33">#REF!</definedName>
    <definedName name="cpix04" localSheetId="23">#REF!</definedName>
    <definedName name="cpix04">#REF!</definedName>
    <definedName name="cpix05" localSheetId="32">#REF!</definedName>
    <definedName name="cpix05" localSheetId="33">#REF!</definedName>
    <definedName name="cpix05" localSheetId="23">#REF!</definedName>
    <definedName name="cpix05">#REF!</definedName>
    <definedName name="cpix06" localSheetId="33">#REF!</definedName>
    <definedName name="cpix06">#REF!</definedName>
    <definedName name="cpix07" localSheetId="33">#REF!</definedName>
    <definedName name="cpix07">#REF!</definedName>
    <definedName name="cpix08" localSheetId="33">#REF!</definedName>
    <definedName name="cpix08">#REF!</definedName>
    <definedName name="cpix09" localSheetId="33">#REF!</definedName>
    <definedName name="cpix09">#REF!</definedName>
    <definedName name="cpix10" localSheetId="33">#REF!</definedName>
    <definedName name="cpix10">#REF!</definedName>
    <definedName name="cpix11" localSheetId="33">#REF!</definedName>
    <definedName name="cpix11">#REF!</definedName>
    <definedName name="cpix12" localSheetId="33">#REF!</definedName>
    <definedName name="cpix12">#REF!</definedName>
    <definedName name="cpix13" localSheetId="33">#REF!</definedName>
    <definedName name="cpix13">#REF!</definedName>
    <definedName name="cpix14" localSheetId="33">#REF!</definedName>
    <definedName name="cpix14">#REF!</definedName>
    <definedName name="cpix15" localSheetId="33">#REF!</definedName>
    <definedName name="cpix15">#REF!</definedName>
    <definedName name="cpix16" localSheetId="33">#REF!</definedName>
    <definedName name="cpix16">#REF!</definedName>
    <definedName name="cpix17" localSheetId="33">#REF!</definedName>
    <definedName name="cpix17">#REF!</definedName>
    <definedName name="cpix18" localSheetId="33">#REF!</definedName>
    <definedName name="cpix18">#REF!</definedName>
    <definedName name="cpix19" localSheetId="33">#REF!</definedName>
    <definedName name="cpix19">#REF!</definedName>
    <definedName name="cpix20" localSheetId="33">#REF!</definedName>
    <definedName name="cpix20">#REF!</definedName>
    <definedName name="cpix21" localSheetId="33">#REF!</definedName>
    <definedName name="cpix21">#REF!</definedName>
    <definedName name="credit06" localSheetId="32">#REF!</definedName>
    <definedName name="credit06" localSheetId="33">#REF!</definedName>
    <definedName name="credit06" localSheetId="23">#REF!</definedName>
    <definedName name="credit06">#REF!</definedName>
    <definedName name="date" localSheetId="4">[3]Data!$B$2</definedName>
    <definedName name="date">Instructions!$X$11</definedName>
    <definedName name="debt03" localSheetId="32">#REF!</definedName>
    <definedName name="debt03" localSheetId="33">#REF!</definedName>
    <definedName name="debt03" localSheetId="23">#REF!</definedName>
    <definedName name="debt03">#REF!</definedName>
    <definedName name="debt04" localSheetId="32">#REF!</definedName>
    <definedName name="debt04" localSheetId="33">#REF!</definedName>
    <definedName name="debt04" localSheetId="23">#REF!</definedName>
    <definedName name="debt04">#REF!</definedName>
    <definedName name="debt05" localSheetId="32">#REF!</definedName>
    <definedName name="debt05" localSheetId="33">#REF!</definedName>
    <definedName name="debt05" localSheetId="23">#REF!</definedName>
    <definedName name="debt05">#REF!</definedName>
    <definedName name="debt06" localSheetId="33">#REF!</definedName>
    <definedName name="debt06">#REF!</definedName>
    <definedName name="debt07" localSheetId="33">#REF!</definedName>
    <definedName name="debt07">#REF!</definedName>
    <definedName name="debt08" localSheetId="33">#REF!</definedName>
    <definedName name="debt08">#REF!</definedName>
    <definedName name="debt09" localSheetId="33">#REF!</definedName>
    <definedName name="debt09">#REF!</definedName>
    <definedName name="debt10" localSheetId="33">#REF!</definedName>
    <definedName name="debt10">#REF!</definedName>
    <definedName name="debt11" localSheetId="33">#REF!</definedName>
    <definedName name="debt11">#REF!</definedName>
    <definedName name="debt12" localSheetId="33">#REF!</definedName>
    <definedName name="debt12">#REF!</definedName>
    <definedName name="debt13" localSheetId="33">#REF!</definedName>
    <definedName name="debt13">#REF!</definedName>
    <definedName name="debt14" localSheetId="33">#REF!</definedName>
    <definedName name="debt14">#REF!</definedName>
    <definedName name="debt15" localSheetId="33">#REF!</definedName>
    <definedName name="debt15">#REF!</definedName>
    <definedName name="debt16" localSheetId="33">#REF!</definedName>
    <definedName name="debt16">#REF!</definedName>
    <definedName name="debt17" localSheetId="33">#REF!</definedName>
    <definedName name="debt17">#REF!</definedName>
    <definedName name="debt18" localSheetId="33">#REF!</definedName>
    <definedName name="debt18">#REF!</definedName>
    <definedName name="debt19" localSheetId="33">#REF!</definedName>
    <definedName name="debt19">#REF!</definedName>
    <definedName name="debt20" localSheetId="33">#REF!</definedName>
    <definedName name="debt20">#REF!</definedName>
    <definedName name="debt21" localSheetId="33">#REF!</definedName>
    <definedName name="debt21">#REF!</definedName>
    <definedName name="debtrev04" localSheetId="32">#REF!</definedName>
    <definedName name="debtrev04" localSheetId="33">#REF!</definedName>
    <definedName name="debtrev04" localSheetId="23">#REF!</definedName>
    <definedName name="debtrev04">#REF!</definedName>
    <definedName name="debtrev05" localSheetId="32">#REF!</definedName>
    <definedName name="debtrev05" localSheetId="33">#REF!</definedName>
    <definedName name="debtrev05" localSheetId="23">#REF!</definedName>
    <definedName name="debtrev05">#REF!</definedName>
    <definedName name="debtrev06" localSheetId="33">#REF!</definedName>
    <definedName name="debtrev06">#REF!</definedName>
    <definedName name="debtrev07" localSheetId="33">#REF!</definedName>
    <definedName name="debtrev07">#REF!</definedName>
    <definedName name="debtrev08" localSheetId="33">#REF!</definedName>
    <definedName name="debtrev08">#REF!</definedName>
    <definedName name="debtrev09" localSheetId="33">#REF!</definedName>
    <definedName name="debtrev09">#REF!</definedName>
    <definedName name="debtrev10" localSheetId="33">#REF!</definedName>
    <definedName name="debtrev10">#REF!</definedName>
    <definedName name="debtrev11" localSheetId="33">#REF!</definedName>
    <definedName name="debtrev11">#REF!</definedName>
    <definedName name="debtrev12" localSheetId="33">#REF!</definedName>
    <definedName name="debtrev12">#REF!</definedName>
    <definedName name="debtrev13" localSheetId="33">#REF!</definedName>
    <definedName name="debtrev13">#REF!</definedName>
    <definedName name="debtrev14" localSheetId="33">#REF!</definedName>
    <definedName name="debtrev14">#REF!</definedName>
    <definedName name="debtrev15" localSheetId="33">#REF!</definedName>
    <definedName name="debtrev15">#REF!</definedName>
    <definedName name="debtrev16" localSheetId="33">#REF!</definedName>
    <definedName name="debtrev16">#REF!</definedName>
    <definedName name="debtrev17" localSheetId="33">#REF!</definedName>
    <definedName name="debtrev17">#REF!</definedName>
    <definedName name="debtrev18" localSheetId="33">#REF!</definedName>
    <definedName name="debtrev18">#REF!</definedName>
    <definedName name="debtrev19" localSheetId="33">#REF!</definedName>
    <definedName name="debtrev19">#REF!</definedName>
    <definedName name="debtrev20" localSheetId="33">#REF!</definedName>
    <definedName name="debtrev20">#REF!</definedName>
    <definedName name="debtrev21" localSheetId="33">#REF!</definedName>
    <definedName name="debtrev21">#REF!</definedName>
    <definedName name="desc" localSheetId="4">'[1]Template names'!$B$30</definedName>
    <definedName name="desc">'Template names'!$B$27</definedName>
    <definedName name="dfratio03" localSheetId="33">#REF!</definedName>
    <definedName name="dfratio03">#REF!</definedName>
    <definedName name="dfratio04" localSheetId="33">#REF!</definedName>
    <definedName name="dfratio04">#REF!</definedName>
    <definedName name="dfratio05" localSheetId="33">#REF!</definedName>
    <definedName name="dfratio05">#REF!</definedName>
    <definedName name="dfratio06" localSheetId="33">#REF!</definedName>
    <definedName name="dfratio06">#REF!</definedName>
    <definedName name="dfratioadj04" localSheetId="33">#REF!</definedName>
    <definedName name="dfratioadj04">#REF!</definedName>
    <definedName name="dfration02" localSheetId="33">#REF!</definedName>
    <definedName name="dfration02">#REF!</definedName>
    <definedName name="ecchoice" localSheetId="32">#REF!</definedName>
    <definedName name="ecchoice" localSheetId="33">#REF!</definedName>
    <definedName name="ecchoice" localSheetId="23">#REF!</definedName>
    <definedName name="ecchoice">#REF!</definedName>
    <definedName name="elec05" localSheetId="32">#REF!</definedName>
    <definedName name="elec05" localSheetId="33">#REF!</definedName>
    <definedName name="elec05" localSheetId="23">#REF!</definedName>
    <definedName name="elec05">#REF!</definedName>
    <definedName name="elec06" localSheetId="33">#REF!</definedName>
    <definedName name="elec06">#REF!</definedName>
    <definedName name="elec07" localSheetId="33">#REF!</definedName>
    <definedName name="elec07">#REF!</definedName>
    <definedName name="elec08" localSheetId="33">#REF!</definedName>
    <definedName name="elec08">#REF!</definedName>
    <definedName name="elec09" localSheetId="33">#REF!</definedName>
    <definedName name="elec09">#REF!</definedName>
    <definedName name="elec10" localSheetId="33">#REF!</definedName>
    <definedName name="elec10">#REF!</definedName>
    <definedName name="elec11" localSheetId="33">#REF!</definedName>
    <definedName name="elec11">#REF!</definedName>
    <definedName name="elec12" localSheetId="33">#REF!</definedName>
    <definedName name="elec12">#REF!</definedName>
    <definedName name="elec13" localSheetId="33">#REF!</definedName>
    <definedName name="elec13">#REF!</definedName>
    <definedName name="elecbulk06" localSheetId="33">#REF!</definedName>
    <definedName name="elecbulk06">#REF!</definedName>
    <definedName name="elecextra" localSheetId="33">#REF!</definedName>
    <definedName name="elecextra">#REF!</definedName>
    <definedName name="elecrev06" localSheetId="33">#REF!</definedName>
    <definedName name="elecrev06">#REF!</definedName>
    <definedName name="elecrev07" localSheetId="33">#REF!</definedName>
    <definedName name="elecrev07">#REF!</definedName>
    <definedName name="elecrev08" localSheetId="33">#REF!</definedName>
    <definedName name="elecrev08">#REF!</definedName>
    <definedName name="elecrev09" localSheetId="33">#REF!</definedName>
    <definedName name="elecrev09">#REF!</definedName>
    <definedName name="elecrev10" localSheetId="33">#REF!</definedName>
    <definedName name="elecrev10">#REF!</definedName>
    <definedName name="elecrev11" localSheetId="33">#REF!</definedName>
    <definedName name="elecrev11">#REF!</definedName>
    <definedName name="elecrev12" localSheetId="33">#REF!</definedName>
    <definedName name="elecrev12">#REF!</definedName>
    <definedName name="elecrev13" localSheetId="33">#REF!</definedName>
    <definedName name="elecrev13">#REF!</definedName>
    <definedName name="elecrev14" localSheetId="33">#REF!</definedName>
    <definedName name="elecrev14">#REF!</definedName>
    <definedName name="elecrev15" localSheetId="33">#REF!</definedName>
    <definedName name="elecrev15">#REF!</definedName>
    <definedName name="elecrev16" localSheetId="33">#REF!</definedName>
    <definedName name="elecrev16">#REF!</definedName>
    <definedName name="elecrev17" localSheetId="33">#REF!</definedName>
    <definedName name="elecrev17">#REF!</definedName>
    <definedName name="elecrev18" localSheetId="33">#REF!</definedName>
    <definedName name="elecrev18">#REF!</definedName>
    <definedName name="elecrev19" localSheetId="33">#REF!</definedName>
    <definedName name="elecrev19">#REF!</definedName>
    <definedName name="elecrev20" localSheetId="33">#REF!</definedName>
    <definedName name="elecrev20">#REF!</definedName>
    <definedName name="elecrev21" localSheetId="33">#REF!</definedName>
    <definedName name="elecrev21">#REF!</definedName>
    <definedName name="EOYcapex" localSheetId="33">#REF!</definedName>
    <definedName name="EOYcapex">#REF!</definedName>
    <definedName name="eskom07" localSheetId="32">#REF!</definedName>
    <definedName name="eskom07" localSheetId="33">#REF!</definedName>
    <definedName name="eskom07" localSheetId="23">#REF!</definedName>
    <definedName name="eskom07">#REF!</definedName>
    <definedName name="FinYear" localSheetId="1">Instructions!$X$38</definedName>
    <definedName name="FinYear">[1]Instructions!$X$36</definedName>
    <definedName name="finyears" localSheetId="32">#REF!</definedName>
    <definedName name="finyears" localSheetId="33">#REF!</definedName>
    <definedName name="finyears" localSheetId="23">#REF!</definedName>
    <definedName name="finyears">#REF!</definedName>
    <definedName name="finyr" localSheetId="32">'Template names'!#REF!</definedName>
    <definedName name="finyr" localSheetId="33">'Template names'!#REF!</definedName>
    <definedName name="finyr" localSheetId="23">'Template names'!#REF!</definedName>
    <definedName name="finyr">'Template names'!#REF!</definedName>
    <definedName name="GrantNatCapex">'[1]Lookup and lists'!$AB$2:$AB$9</definedName>
    <definedName name="GrantNatOpex">'[1]Lookup and lists'!$Z$2:$Z$13</definedName>
    <definedName name="GrantProvOpex">'[1]Lookup and lists'!$AA$2:$AA$6</definedName>
    <definedName name="Head1" localSheetId="4">'[1]Template names'!$B$2</definedName>
    <definedName name="Head1">'Template names'!$B$2</definedName>
    <definedName name="Head10" localSheetId="4">'[1]Template names'!$B$16</definedName>
    <definedName name="Head10">'Template names'!$B$13</definedName>
    <definedName name="Head11" localSheetId="4">'[1]Template names'!$B$17</definedName>
    <definedName name="Head11">'Template names'!$B$14</definedName>
    <definedName name="Head12" localSheetId="4">'[1]Template names'!$B$18</definedName>
    <definedName name="Head12">'Template names'!$B$15</definedName>
    <definedName name="Head13" localSheetId="4">'[1]Template names'!$B$19</definedName>
    <definedName name="Head13">'Template names'!$B$16</definedName>
    <definedName name="Head14" localSheetId="4">'[1]Template names'!$B$20</definedName>
    <definedName name="Head14">'Template names'!$B$17</definedName>
    <definedName name="Head15" localSheetId="4">'[1]Template names'!$B$21</definedName>
    <definedName name="Head15">'Template names'!$B$18</definedName>
    <definedName name="Head16" localSheetId="4">'[1]Template names'!$B$22</definedName>
    <definedName name="Head16">'Template names'!$B$19</definedName>
    <definedName name="Head17" localSheetId="4">'[1]Template names'!$B$23</definedName>
    <definedName name="Head17">'Template names'!$B$20</definedName>
    <definedName name="Head18" localSheetId="4">'[1]Template names'!$B$24</definedName>
    <definedName name="Head18">'Template names'!$B$21</definedName>
    <definedName name="Head19" localSheetId="4">'[1]Template names'!$B$25</definedName>
    <definedName name="Head19">'Template names'!$B$22</definedName>
    <definedName name="head1A" localSheetId="4">'[1]Template names'!$B$3</definedName>
    <definedName name="head1A" localSheetId="32">'Template names'!#REF!</definedName>
    <definedName name="head1A" localSheetId="33">'Template names'!#REF!</definedName>
    <definedName name="head1A" localSheetId="23">'Template names'!#REF!</definedName>
    <definedName name="head1A">'Template names'!#REF!</definedName>
    <definedName name="head1b" localSheetId="4">'[1]Template names'!$B$4</definedName>
    <definedName name="head1b" localSheetId="32">'Template names'!#REF!</definedName>
    <definedName name="head1b" localSheetId="33">'Template names'!#REF!</definedName>
    <definedName name="head1b" localSheetId="23">'Template names'!#REF!</definedName>
    <definedName name="head1b">'Template names'!#REF!</definedName>
    <definedName name="Head2" localSheetId="4">'[1]Template names'!$B$5</definedName>
    <definedName name="Head2">'Template names'!$B$3</definedName>
    <definedName name="Head20" localSheetId="4">'[1]Template names'!$B$26</definedName>
    <definedName name="Head20">'Template names'!$B$23</definedName>
    <definedName name="Head21" localSheetId="4">'[1]Template names'!$B$27</definedName>
    <definedName name="Head21">'Template names'!$B$24</definedName>
    <definedName name="Head22" localSheetId="4">'[1]Template names'!$B$28</definedName>
    <definedName name="Head22">'Template names'!$B$25</definedName>
    <definedName name="Head23" localSheetId="4">'[1]Template names'!$B$29</definedName>
    <definedName name="Head23">'Template names'!$B$26</definedName>
    <definedName name="Head24">'Template names'!$B$27</definedName>
    <definedName name="head27" localSheetId="4">'[1]Template names'!$B$33</definedName>
    <definedName name="head27">'Template names'!$B$30</definedName>
    <definedName name="head27a" localSheetId="4">'[1]Template names'!$B$34</definedName>
    <definedName name="head27a">'Template names'!$B$31</definedName>
    <definedName name="Head29">'Template names'!$B$33</definedName>
    <definedName name="Head2A">'Template names'!$B$4</definedName>
    <definedName name="Head2B" localSheetId="32">'Template names'!#REF!</definedName>
    <definedName name="Head2B" localSheetId="33">'Template names'!#REF!</definedName>
    <definedName name="Head2B" localSheetId="23">'Template names'!#REF!</definedName>
    <definedName name="Head2B">'Template names'!#REF!</definedName>
    <definedName name="Head3" localSheetId="4">'[1]Template names'!$B$7</definedName>
    <definedName name="Head3">'Template names'!$B$5</definedName>
    <definedName name="Head30">'Template names'!$B$34</definedName>
    <definedName name="Head31">'Template names'!$B$35</definedName>
    <definedName name="Head32">'Template names'!$B$36</definedName>
    <definedName name="Head33">'Template names'!$B$37</definedName>
    <definedName name="Head34">'Template names'!$B$38</definedName>
    <definedName name="Head35">'Template names'!$B$39</definedName>
    <definedName name="Head36">'Template names'!$B$40</definedName>
    <definedName name="Head37">'Template names'!$B$41</definedName>
    <definedName name="Head38">'Template names'!$B$42</definedName>
    <definedName name="Head39">'Template names'!$B$43</definedName>
    <definedName name="Head3a" localSheetId="32">'Template names'!#REF!</definedName>
    <definedName name="Head3a" localSheetId="33">'Template names'!#REF!</definedName>
    <definedName name="Head3a" localSheetId="23">'Template names'!#REF!</definedName>
    <definedName name="Head3a">'Template names'!#REF!</definedName>
    <definedName name="Head4" localSheetId="4">'[1]Template names'!$B$8</definedName>
    <definedName name="Head4" localSheetId="32">'Template names'!#REF!</definedName>
    <definedName name="Head4" localSheetId="33">'Template names'!#REF!</definedName>
    <definedName name="Head4" localSheetId="23">'Template names'!#REF!</definedName>
    <definedName name="Head4">'Template names'!#REF!</definedName>
    <definedName name="Head40">'Template names'!$B$44</definedName>
    <definedName name="Head41">'Template names'!$B$45</definedName>
    <definedName name="Head42">'Template names'!$B$46</definedName>
    <definedName name="Head43">'Template names'!$B$47</definedName>
    <definedName name="Head44" localSheetId="4">'[1]Template names'!$B$51</definedName>
    <definedName name="Head44">'Template names'!$B$48</definedName>
    <definedName name="Head45" localSheetId="4">'[1]Template names'!$B$52</definedName>
    <definedName name="Head45">'Template names'!$B$49</definedName>
    <definedName name="head46">'Template names'!$B$50</definedName>
    <definedName name="Head47" localSheetId="4">'[1]Template names'!$B$54</definedName>
    <definedName name="Head47">'Template names'!$B$51</definedName>
    <definedName name="Head48" localSheetId="4">'[1]Template names'!$B$55</definedName>
    <definedName name="Head48">'Template names'!$B$52</definedName>
    <definedName name="Head49">'Template names'!$B$53</definedName>
    <definedName name="Head5" localSheetId="4">'[1]Template names'!$B$9</definedName>
    <definedName name="Head5">'Template names'!$B$6</definedName>
    <definedName name="Head50">'Template names'!$B$54</definedName>
    <definedName name="Head51">'Template names'!$B$55</definedName>
    <definedName name="Head52">'Template names'!$B$56</definedName>
    <definedName name="Head53">'Template names'!$B$57</definedName>
    <definedName name="Head54">'Template names'!$B$58</definedName>
    <definedName name="Head55">'Template names'!$B$59</definedName>
    <definedName name="Head56">'Template names'!$B$60</definedName>
    <definedName name="Head57">'Template names'!$B$61</definedName>
    <definedName name="Head58">'Template names'!$B$62</definedName>
    <definedName name="Head59">'Template names'!$B$63</definedName>
    <definedName name="Head5A" localSheetId="4">'[1]Template names'!$B$10</definedName>
    <definedName name="Head5A">'Template names'!$B$7</definedName>
    <definedName name="Head5b" localSheetId="4">'[1]Template names'!$B$11</definedName>
    <definedName name="Head5b">'Template names'!$B$8</definedName>
    <definedName name="Head6" localSheetId="4">'[1]Template names'!$B$12</definedName>
    <definedName name="Head6">'Template names'!$B$9</definedName>
    <definedName name="Head7" localSheetId="4">'[1]Template names'!$B$13</definedName>
    <definedName name="Head7">'Template names'!$B$10</definedName>
    <definedName name="Head8" localSheetId="4">'[1]Template names'!$B$14</definedName>
    <definedName name="Head8">'Template names'!$B$11</definedName>
    <definedName name="Head9" localSheetId="4">'[1]Template names'!$B$15</definedName>
    <definedName name="Head9">'Template names'!$B$12</definedName>
    <definedName name="headerdate" localSheetId="33">#REF!</definedName>
    <definedName name="headerdate">#REF!</definedName>
    <definedName name="Headings" localSheetId="4">'[1]Lookup and lists'!$A$1:$O$24</definedName>
    <definedName name="Headings">'Lookup and lists'!$A$1:$O$7</definedName>
    <definedName name="hhgr05" localSheetId="32">#REF!</definedName>
    <definedName name="hhgr05" localSheetId="33">#REF!</definedName>
    <definedName name="hhgr05" localSheetId="23">#REF!</definedName>
    <definedName name="hhgr05">#REF!</definedName>
    <definedName name="hhgr06" localSheetId="33">#REF!</definedName>
    <definedName name="hhgr06">#REF!</definedName>
    <definedName name="hhgr07" localSheetId="33">#REF!</definedName>
    <definedName name="hhgr07">#REF!</definedName>
    <definedName name="hhgr08" localSheetId="33">#REF!</definedName>
    <definedName name="hhgr08">#REF!</definedName>
    <definedName name="hhgr09" localSheetId="33">#REF!</definedName>
    <definedName name="hhgr09">#REF!</definedName>
    <definedName name="hhgr10" localSheetId="33">#REF!</definedName>
    <definedName name="hhgr10">#REF!</definedName>
    <definedName name="hhgr11" localSheetId="33">#REF!</definedName>
    <definedName name="hhgr11">#REF!</definedName>
    <definedName name="hhgr12" localSheetId="33">#REF!</definedName>
    <definedName name="hhgr12">#REF!</definedName>
    <definedName name="hhgr13" localSheetId="33">#REF!</definedName>
    <definedName name="hhgr13">#REF!</definedName>
    <definedName name="hhgr14" localSheetId="33">#REF!</definedName>
    <definedName name="hhgr14">#REF!</definedName>
    <definedName name="hhgr15" localSheetId="33">#REF!</definedName>
    <definedName name="hhgr15">#REF!</definedName>
    <definedName name="hhgr16" localSheetId="33">#REF!</definedName>
    <definedName name="hhgr16">#REF!</definedName>
    <definedName name="hhgr17" localSheetId="33">#REF!</definedName>
    <definedName name="hhgr17">#REF!</definedName>
    <definedName name="hhgr18" localSheetId="33">#REF!</definedName>
    <definedName name="hhgr18">#REF!</definedName>
    <definedName name="hhgr19" localSheetId="33">#REF!</definedName>
    <definedName name="hhgr19">#REF!</definedName>
    <definedName name="hhgr20" localSheetId="33">#REF!</definedName>
    <definedName name="hhgr20">#REF!</definedName>
    <definedName name="hhgr21" localSheetId="33">#REF!</definedName>
    <definedName name="hhgr21">#REF!</definedName>
    <definedName name="incentive" localSheetId="32">#REF!</definedName>
    <definedName name="incentive" localSheetId="33">#REF!</definedName>
    <definedName name="incentive" localSheetId="23">#REF!</definedName>
    <definedName name="incentive">#REF!</definedName>
    <definedName name="infra" localSheetId="33">#REF!</definedName>
    <definedName name="infra">#REF!</definedName>
    <definedName name="Infrarenewal" localSheetId="33">#REF!</definedName>
    <definedName name="Infrarenewal">#REF!</definedName>
    <definedName name="infrastratnum" localSheetId="33">#REF!</definedName>
    <definedName name="infrastratnum">#REF!</definedName>
    <definedName name="Instructions" localSheetId="1">#REF!</definedName>
    <definedName name="Instructions" localSheetId="33">#REF!</definedName>
    <definedName name="Instructions">#REF!</definedName>
    <definedName name="inventory" localSheetId="32">#REF!</definedName>
    <definedName name="inventory" localSheetId="33">#REF!</definedName>
    <definedName name="inventory" localSheetId="23">#REF!</definedName>
    <definedName name="inventory">#REF!</definedName>
    <definedName name="List1">'[1]Lookup and lists'!$Q$2:$Q$4</definedName>
    <definedName name="List2">'[1]Lookup and lists'!$R$2:$R$8</definedName>
    <definedName name="List3">'[1]Lookup and lists'!$S$2:$S$7</definedName>
    <definedName name="List4">'[1]Lookup and lists'!$T$2:$T$4</definedName>
    <definedName name="List5">'[1]Lookup and lists'!$U$2:$U$4</definedName>
    <definedName name="List6">'[1]Lookup and lists'!$V$2:$V$3</definedName>
    <definedName name="List7">'[1]Lookup and lists'!$W$2:$W$3</definedName>
    <definedName name="List8">'[1]Lookup and lists'!$X$2:$X$3</definedName>
    <definedName name="longterm" localSheetId="32">#REF!</definedName>
    <definedName name="longterm" localSheetId="33">#REF!</definedName>
    <definedName name="longterm" localSheetId="23">#REF!</definedName>
    <definedName name="longterm">#REF!</definedName>
    <definedName name="MEAB1" localSheetId="4">'[1]Template names'!#REF!</definedName>
    <definedName name="MEAB1" localSheetId="32">'Template names'!#REF!</definedName>
    <definedName name="MEAB1" localSheetId="33">'Template names'!#REF!</definedName>
    <definedName name="MEAB1" localSheetId="23">'Template names'!#REF!</definedName>
    <definedName name="MEAB1">'Template names'!#REF!</definedName>
    <definedName name="MEAB10" localSheetId="4">'[1]Template names'!#REF!</definedName>
    <definedName name="MEAB10" localSheetId="32">'Template names'!#REF!</definedName>
    <definedName name="MEAB10" localSheetId="33">'Template names'!#REF!</definedName>
    <definedName name="MEAB10" localSheetId="23">'Template names'!#REF!</definedName>
    <definedName name="MEAB10">'Template names'!#REF!</definedName>
    <definedName name="MEAB11" localSheetId="4">'[1]Template names'!#REF!</definedName>
    <definedName name="MEAB11" localSheetId="32">'Template names'!#REF!</definedName>
    <definedName name="MEAB11" localSheetId="33">'Template names'!#REF!</definedName>
    <definedName name="MEAB11" localSheetId="23">'Template names'!#REF!</definedName>
    <definedName name="MEAB11">'Template names'!#REF!</definedName>
    <definedName name="MEAB2" localSheetId="4">'[1]Template names'!#REF!</definedName>
    <definedName name="MEAB2" localSheetId="32">'Template names'!#REF!</definedName>
    <definedName name="MEAB2" localSheetId="33">'Template names'!#REF!</definedName>
    <definedName name="MEAB2" localSheetId="23">'Template names'!#REF!</definedName>
    <definedName name="MEAB2">'Template names'!#REF!</definedName>
    <definedName name="MEAB3" localSheetId="4">'[1]Template names'!#REF!</definedName>
    <definedName name="MEAB3" localSheetId="32">'Template names'!#REF!</definedName>
    <definedName name="MEAB3" localSheetId="33">'Template names'!#REF!</definedName>
    <definedName name="MEAB3" localSheetId="23">'Template names'!#REF!</definedName>
    <definedName name="MEAB3">'Template names'!#REF!</definedName>
    <definedName name="MEAB4" localSheetId="4">'[1]Template names'!#REF!</definedName>
    <definedName name="MEAB4" localSheetId="32">'Template names'!#REF!</definedName>
    <definedName name="MEAB4" localSheetId="33">'Template names'!#REF!</definedName>
    <definedName name="MEAB4" localSheetId="23">'Template names'!#REF!</definedName>
    <definedName name="MEAB4">'Template names'!#REF!</definedName>
    <definedName name="MEAB5" localSheetId="4">'[1]Template names'!#REF!</definedName>
    <definedName name="MEAB5" localSheetId="32">'Template names'!#REF!</definedName>
    <definedName name="MEAB5" localSheetId="33">'Template names'!#REF!</definedName>
    <definedName name="MEAB5" localSheetId="23">'Template names'!#REF!</definedName>
    <definedName name="MEAB5">'Template names'!#REF!</definedName>
    <definedName name="MEAB6" localSheetId="4">'[1]Template names'!#REF!</definedName>
    <definedName name="MEAB6" localSheetId="32">'Template names'!#REF!</definedName>
    <definedName name="MEAB6" localSheetId="33">'Template names'!#REF!</definedName>
    <definedName name="MEAB6" localSheetId="23">'Template names'!#REF!</definedName>
    <definedName name="MEAB6">'Template names'!#REF!</definedName>
    <definedName name="MEAB7" localSheetId="4">'[1]Template names'!#REF!</definedName>
    <definedName name="MEAB7" localSheetId="32">'Template names'!#REF!</definedName>
    <definedName name="MEAB7" localSheetId="33">'Template names'!#REF!</definedName>
    <definedName name="MEAB7" localSheetId="23">'Template names'!#REF!</definedName>
    <definedName name="MEAB7">'Template names'!#REF!</definedName>
    <definedName name="MEAB8" localSheetId="4">'[1]Template names'!#REF!</definedName>
    <definedName name="MEAB8" localSheetId="32">'Template names'!#REF!</definedName>
    <definedName name="MEAB8" localSheetId="33">'Template names'!#REF!</definedName>
    <definedName name="MEAB8" localSheetId="23">'Template names'!#REF!</definedName>
    <definedName name="MEAB8">'Template names'!#REF!</definedName>
    <definedName name="MEAB9" localSheetId="4">'[1]Template names'!#REF!</definedName>
    <definedName name="MEAB9" localSheetId="32">'Template names'!#REF!</definedName>
    <definedName name="MEAB9" localSheetId="33">'Template names'!#REF!</definedName>
    <definedName name="MEAB9" localSheetId="23">'Template names'!#REF!</definedName>
    <definedName name="MEAB9">'Template names'!#REF!</definedName>
    <definedName name="MEABsum" localSheetId="4">'[1]Template names'!#REF!</definedName>
    <definedName name="MEABsum" localSheetId="32">'Template names'!#REF!</definedName>
    <definedName name="MEABsum" localSheetId="33">'Template names'!#REF!</definedName>
    <definedName name="MEABsum" localSheetId="23">'Template names'!#REF!</definedName>
    <definedName name="MEABsum">'Template names'!#REF!</definedName>
    <definedName name="MEB1A" localSheetId="4">'[1]Template names'!#REF!</definedName>
    <definedName name="MEB1A" localSheetId="32">'Template names'!#REF!</definedName>
    <definedName name="MEB1A" localSheetId="33">'Template names'!#REF!</definedName>
    <definedName name="MEB1A" localSheetId="23">'Template names'!#REF!</definedName>
    <definedName name="MEB1A">'Template names'!#REF!</definedName>
    <definedName name="MEBsum" localSheetId="4">'[1]Template names'!#REF!</definedName>
    <definedName name="MEBsum" localSheetId="32">'Template names'!#REF!</definedName>
    <definedName name="MEBsum" localSheetId="33">'Template names'!#REF!</definedName>
    <definedName name="MEBsum" localSheetId="23">'Template names'!#REF!</definedName>
    <definedName name="MEBsum">'Template names'!#REF!</definedName>
    <definedName name="MERsum" localSheetId="4">'[1]Template names'!#REF!</definedName>
    <definedName name="MERsum" localSheetId="32">'Template names'!#REF!</definedName>
    <definedName name="MERsum" localSheetId="33">'Template names'!#REF!</definedName>
    <definedName name="MERsum" localSheetId="23">'Template names'!#REF!</definedName>
    <definedName name="MERsum">'Template names'!#REF!</definedName>
    <definedName name="month" localSheetId="1">[3]Data!$B$1</definedName>
    <definedName name="month" localSheetId="4">[3]Data!$B$1</definedName>
    <definedName name="Month">'Template names'!$D$64</definedName>
    <definedName name="MTREF" localSheetId="1">Instructions!$X$36</definedName>
    <definedName name="MTREF" localSheetId="4">[1]Instructions!$X$34</definedName>
    <definedName name="MTREF">Instructions!$X$36</definedName>
    <definedName name="muni" localSheetId="4">'[1]Template names'!$B$93</definedName>
    <definedName name="muni">'Template names'!$B$73</definedName>
    <definedName name="MuniEntities" localSheetId="4">'[1]Template names'!$B$94</definedName>
    <definedName name="MuniEntities">'Template names'!$B$74</definedName>
    <definedName name="MuniType" localSheetId="4">'[1]Template names'!$D$94</definedName>
    <definedName name="MuniType">'Template names'!$D$74</definedName>
    <definedName name="NatCapexGrantNames">'Lookup and lists'!$T$2:$T$12</definedName>
    <definedName name="NatOpexGrantNames">'Lookup and lists'!$R$2:$R$12</definedName>
    <definedName name="nersa07" localSheetId="32">#REF!</definedName>
    <definedName name="nersa07" localSheetId="33">#REF!</definedName>
    <definedName name="nersa07" localSheetId="23">#REF!</definedName>
    <definedName name="nersa07">#REF!</definedName>
    <definedName name="nersa08" localSheetId="32">#REF!</definedName>
    <definedName name="nersa08" localSheetId="33">#REF!</definedName>
    <definedName name="nersa08" localSheetId="23">#REF!</definedName>
    <definedName name="nersa08">#REF!</definedName>
    <definedName name="nethhgr05" localSheetId="32">#REF!</definedName>
    <definedName name="nethhgr05" localSheetId="33">#REF!</definedName>
    <definedName name="nethhgr05" localSheetId="23">#REF!</definedName>
    <definedName name="nethhgr05">#REF!</definedName>
    <definedName name="nethhgr06" localSheetId="33">#REF!</definedName>
    <definedName name="nethhgr06">#REF!</definedName>
    <definedName name="nethhgr07" localSheetId="33">#REF!</definedName>
    <definedName name="nethhgr07">#REF!</definedName>
    <definedName name="nethhgr08" localSheetId="33">#REF!</definedName>
    <definedName name="nethhgr08">#REF!</definedName>
    <definedName name="nethhgr09" localSheetId="33">#REF!</definedName>
    <definedName name="nethhgr09">#REF!</definedName>
    <definedName name="nethhgr10" localSheetId="33">#REF!</definedName>
    <definedName name="nethhgr10">#REF!</definedName>
    <definedName name="nethhgr11" localSheetId="33">#REF!</definedName>
    <definedName name="nethhgr11">#REF!</definedName>
    <definedName name="nethhgr12" localSheetId="33">#REF!</definedName>
    <definedName name="nethhgr12">#REF!</definedName>
    <definedName name="nethhgr13" localSheetId="33">#REF!</definedName>
    <definedName name="nethhgr13">#REF!</definedName>
    <definedName name="nethhgr14" localSheetId="33">#REF!</definedName>
    <definedName name="nethhgr14">#REF!</definedName>
    <definedName name="nethhgr15" localSheetId="33">#REF!</definedName>
    <definedName name="nethhgr15">#REF!</definedName>
    <definedName name="nethhgr16" localSheetId="33">#REF!</definedName>
    <definedName name="nethhgr16">#REF!</definedName>
    <definedName name="nethhgr17" localSheetId="33">#REF!</definedName>
    <definedName name="nethhgr17">#REF!</definedName>
    <definedName name="nethhgr18" localSheetId="33">#REF!</definedName>
    <definedName name="nethhgr18">#REF!</definedName>
    <definedName name="nethhgr19" localSheetId="33">#REF!</definedName>
    <definedName name="nethhgr19">#REF!</definedName>
    <definedName name="nethhgr20" localSheetId="33">#REF!</definedName>
    <definedName name="nethhgr20">#REF!</definedName>
    <definedName name="nethhgr21" localSheetId="33">#REF!</definedName>
    <definedName name="nethhgr21">#REF!</definedName>
    <definedName name="ninety" localSheetId="1">#REF!</definedName>
    <definedName name="ninety" localSheetId="4">#REF!</definedName>
    <definedName name="ninety">'SC3'!$P$14</definedName>
    <definedName name="Note20">[4]Names!$B$89</definedName>
    <definedName name="Orgstructurevotes">'Org structure'!$A$2:$A$16</definedName>
    <definedName name="poorgr06" localSheetId="33">#REF!</definedName>
    <definedName name="poorgr06">#REF!</definedName>
    <definedName name="_xlnm.Print_Area" localSheetId="6">'C1-Sum'!$A$1:$J$56</definedName>
    <definedName name="_xlnm.Print_Area" localSheetId="7">'C2-FinPerf SC'!$A$1:$K$50</definedName>
    <definedName name="_xlnm.Print_Area" localSheetId="9">'C3-FinPerf V'!$A$1:$K$40</definedName>
    <definedName name="_xlnm.Print_Area" localSheetId="11">'C4-FinPerf RE'!$A$1:$K$48</definedName>
    <definedName name="_xlnm.Print_Area" localSheetId="12">'C5-Capex'!$A$1:$K$82</definedName>
    <definedName name="_xlnm.Print_Area" localSheetId="14">'C6-FinPos'!$A$1:$G$48</definedName>
    <definedName name="_xlnm.Print_Area" localSheetId="15">'C7-CFlow'!$A$1:$K$41</definedName>
    <definedName name="_xlnm.Print_Area" localSheetId="1">Instructions!$A$1:$M$48</definedName>
    <definedName name="_xlnm.Print_Area" localSheetId="16">'SC1'!$A$1:$E$40</definedName>
    <definedName name="_xlnm.Print_Area" localSheetId="26">'SC10'!$A$1:$K$44</definedName>
    <definedName name="_xlnm.Print_Area" localSheetId="27">'SC11'!$A$1:$K$43</definedName>
    <definedName name="_xlnm.Print_Area" localSheetId="28">'SC12'!$A$1:$J$18</definedName>
    <definedName name="_xlnm.Print_Area" localSheetId="29">SC13a!$A$1:$K$166</definedName>
    <definedName name="_xlnm.Print_Area" localSheetId="17">'SC2'!$A$1:$H$32</definedName>
    <definedName name="_xlnm.Print_Area" localSheetId="18">'SC3'!$A$1:$O$21</definedName>
    <definedName name="_xlnm.Print_Area" localSheetId="19">'SC4'!$A$1:$K$15</definedName>
    <definedName name="_xlnm.Print_Area" localSheetId="20">'SC5'!$A$1:$J$24</definedName>
    <definedName name="_xlnm.Print_Area" localSheetId="21">'SC6'!$A$1:$K$63</definedName>
    <definedName name="_xlnm.Print_Area" localSheetId="22">'SC7(1)'!$A$1:$K$64</definedName>
    <definedName name="_xlnm.Print_Area" localSheetId="23">'SC7(2)'!$A$1:$G$49</definedName>
    <definedName name="_xlnm.Print_Area" localSheetId="24">'SC8'!$A$1:$K$106</definedName>
    <definedName name="_xlnm.Print_Area" localSheetId="25">'SC9'!$A$1:$Q$56</definedName>
    <definedName name="proptax07" localSheetId="33">#REF!</definedName>
    <definedName name="proptax07">#REF!</definedName>
    <definedName name="ProvCapexGrantsNames">'Lookup and lists'!$U$2:$U$7</definedName>
    <definedName name="ProvOpexGrantNames">'Lookup and lists'!$S$2:$S$7</definedName>
    <definedName name="Rand000" localSheetId="32">#REF!</definedName>
    <definedName name="Rand000" localSheetId="33">#REF!</definedName>
    <definedName name="Rand000" localSheetId="23">#REF!</definedName>
    <definedName name="Rand000">#REF!</definedName>
    <definedName name="RandM">'Template names'!$B$71</definedName>
    <definedName name="REDHHGR06" localSheetId="32">#REF!</definedName>
    <definedName name="REDHHGR06" localSheetId="33">#REF!</definedName>
    <definedName name="REDHHGR06" localSheetId="23">#REF!</definedName>
    <definedName name="REDHHGR06">#REF!</definedName>
    <definedName name="redhhgr07" localSheetId="32">#REF!</definedName>
    <definedName name="redhhgr07" localSheetId="33">#REF!</definedName>
    <definedName name="redhhgr07" localSheetId="23">#REF!</definedName>
    <definedName name="redhhgr07">#REF!</definedName>
    <definedName name="redrev06" localSheetId="32">#REF!</definedName>
    <definedName name="redrev06" localSheetId="33">#REF!</definedName>
    <definedName name="redrev06" localSheetId="23">#REF!</definedName>
    <definedName name="redrev06">#REF!</definedName>
    <definedName name="redrev07" localSheetId="32">#REF!</definedName>
    <definedName name="redrev07" localSheetId="33">#REF!</definedName>
    <definedName name="redrev07" localSheetId="23">#REF!</definedName>
    <definedName name="redrev07">#REF!</definedName>
    <definedName name="Reds" localSheetId="32">#REF!</definedName>
    <definedName name="Reds" localSheetId="33">#REF!</definedName>
    <definedName name="Reds" localSheetId="23">#REF!</definedName>
    <definedName name="Reds">#REF!</definedName>
    <definedName name="renewyears" localSheetId="33">#REF!</definedName>
    <definedName name="renewyears">#REF!</definedName>
    <definedName name="Request0506" localSheetId="32">#REF!</definedName>
    <definedName name="Request0506" localSheetId="33">#REF!</definedName>
    <definedName name="Request0506" localSheetId="23">#REF!</definedName>
    <definedName name="Request0506">#REF!</definedName>
    <definedName name="resiprop" localSheetId="33">#REF!</definedName>
    <definedName name="resiprop">#REF!</definedName>
    <definedName name="result" localSheetId="4">'[1]Template names'!$B$35</definedName>
    <definedName name="result">'Template names'!$B$32</definedName>
    <definedName name="rmcRED06" localSheetId="1">#REF!</definedName>
    <definedName name="rmcRED06" localSheetId="4">#REF!</definedName>
    <definedName name="rmcRED06" localSheetId="32">#REF!</definedName>
    <definedName name="rmcRED06" localSheetId="33">#REF!</definedName>
    <definedName name="rmcRED06" localSheetId="23">#REF!</definedName>
    <definedName name="rmcRED06">#REF!</definedName>
    <definedName name="rmcred07" localSheetId="1">#REF!</definedName>
    <definedName name="rmcred07" localSheetId="4">#REF!</definedName>
    <definedName name="rmcred07" localSheetId="32">#REF!</definedName>
    <definedName name="rmcred07" localSheetId="33">#REF!</definedName>
    <definedName name="rmcred07" localSheetId="23">#REF!</definedName>
    <definedName name="rmcred07">#REF!</definedName>
    <definedName name="roundfactor" localSheetId="1">#REF!</definedName>
    <definedName name="roundfactor" localSheetId="4">#REF!</definedName>
    <definedName name="roundfactor" localSheetId="32">#REF!</definedName>
    <definedName name="roundfactor" localSheetId="33">#REF!</definedName>
    <definedName name="roundfactor" localSheetId="23">#REF!</definedName>
    <definedName name="roundfactor">#REF!</definedName>
    <definedName name="S71A" localSheetId="1">'Template names'!#REF!</definedName>
    <definedName name="S71A" localSheetId="4">'[1]Template names'!#REF!</definedName>
    <definedName name="S71A">'Template names'!$B$79</definedName>
    <definedName name="S71B" localSheetId="1">'Template names'!#REF!</definedName>
    <definedName name="S71B" localSheetId="4">'[1]Template names'!#REF!</definedName>
    <definedName name="S71B">'Template names'!$B$80</definedName>
    <definedName name="s71B8" localSheetId="1">'Template names'!#REF!</definedName>
    <definedName name="s71B8" localSheetId="4">'[1]Template names'!#REF!</definedName>
    <definedName name="s71B8">'Template names'!$B$91</definedName>
    <definedName name="s71B9" localSheetId="1">'Template names'!#REF!</definedName>
    <definedName name="s71B9" localSheetId="4">'[1]Template names'!#REF!</definedName>
    <definedName name="s71B9">'Template names'!$B$92</definedName>
    <definedName name="S71C" localSheetId="1">'Template names'!#REF!</definedName>
    <definedName name="S71C" localSheetId="4">'[1]Template names'!#REF!</definedName>
    <definedName name="S71C">'Template names'!$B$78</definedName>
    <definedName name="S71D" localSheetId="1">'Template names'!#REF!</definedName>
    <definedName name="S71D" localSheetId="4">'[1]Template names'!#REF!</definedName>
    <definedName name="S71D">'Template names'!$B$81</definedName>
    <definedName name="S71E" localSheetId="1">'Template names'!#REF!</definedName>
    <definedName name="S71E" localSheetId="4">'[1]Template names'!#REF!</definedName>
    <definedName name="S71E">'Template names'!$B$82</definedName>
    <definedName name="S71F" localSheetId="1">'Template names'!#REF!</definedName>
    <definedName name="S71F" localSheetId="4">'[1]Template names'!#REF!</definedName>
    <definedName name="S71F">'Template names'!$B$83</definedName>
    <definedName name="S71G" localSheetId="1">'Template names'!#REF!</definedName>
    <definedName name="S71G" localSheetId="4">'[1]Template names'!#REF!</definedName>
    <definedName name="S71G">'Template names'!$B$84</definedName>
    <definedName name="S71H" localSheetId="1">'Template names'!#REF!</definedName>
    <definedName name="S71H" localSheetId="4">'[1]Template names'!#REF!</definedName>
    <definedName name="S71H">'Template names'!$B$85</definedName>
    <definedName name="S71I" localSheetId="1">'Template names'!#REF!</definedName>
    <definedName name="S71I" localSheetId="4">'[1]Template names'!#REF!</definedName>
    <definedName name="S71I">'Template names'!$B$86</definedName>
    <definedName name="S71J" localSheetId="1">'Template names'!#REF!</definedName>
    <definedName name="S71J" localSheetId="4">'[1]Template names'!#REF!</definedName>
    <definedName name="S71J">'Template names'!$B$87</definedName>
    <definedName name="S71K" localSheetId="1">'Template names'!#REF!</definedName>
    <definedName name="S71K" localSheetId="4">'[1]Template names'!#REF!</definedName>
    <definedName name="S71K">'Template names'!$B$88</definedName>
    <definedName name="S71L" localSheetId="1">'Template names'!#REF!</definedName>
    <definedName name="S71L" localSheetId="4">'[1]Template names'!#REF!</definedName>
    <definedName name="S71L">'Template names'!$B$89</definedName>
    <definedName name="S71M" localSheetId="1">'Template names'!#REF!</definedName>
    <definedName name="S71M" localSheetId="4">'[1]Template names'!#REF!</definedName>
    <definedName name="S71M">'Template names'!$B$90</definedName>
    <definedName name="S71N" localSheetId="1">'Template names'!#REF!</definedName>
    <definedName name="S71N" localSheetId="4">'[1]Template names'!#REF!</definedName>
    <definedName name="S71N">'Template names'!$B$91</definedName>
    <definedName name="S71O" localSheetId="1">'Template names'!#REF!</definedName>
    <definedName name="S71O" localSheetId="4">'[1]Template names'!#REF!</definedName>
    <definedName name="S71O">'Template names'!$B$92</definedName>
    <definedName name="S71P" localSheetId="1">'Template names'!#REF!</definedName>
    <definedName name="S71P" localSheetId="4">'[1]Template names'!#REF!</definedName>
    <definedName name="S71P">'Template names'!$B$93</definedName>
    <definedName name="S71Q" localSheetId="1">'Template names'!#REF!</definedName>
    <definedName name="S71Q" localSheetId="4">'[1]Template names'!#REF!</definedName>
    <definedName name="S71Q">'Template names'!$B$94</definedName>
    <definedName name="S71R">'Template names'!$B$95</definedName>
    <definedName name="S71Sa">'Template names'!$B$96</definedName>
    <definedName name="S71Sb">'Template names'!$B$97</definedName>
    <definedName name="S71Sc">'Template names'!$B$98</definedName>
    <definedName name="S71Sd">'Template names'!$B$99</definedName>
    <definedName name="S71SDBIP" localSheetId="1">'Template names'!#REF!</definedName>
    <definedName name="S71SDBIP" localSheetId="4">'[1]Template names'!#REF!</definedName>
    <definedName name="S71SDBIP" localSheetId="32">'Template names'!#REF!</definedName>
    <definedName name="S71SDBIP" localSheetId="33">'Template names'!#REF!</definedName>
    <definedName name="S71SDBIP" localSheetId="23">'Template names'!#REF!</definedName>
    <definedName name="S71SDBIP">'Template names'!#REF!</definedName>
    <definedName name="S71Se">'Template names'!$F$100</definedName>
    <definedName name="s71sum" localSheetId="1">'Template names'!#REF!</definedName>
    <definedName name="s71sum" localSheetId="4">'[1]Template names'!#REF!</definedName>
    <definedName name="s71sum">'Template names'!$B$77</definedName>
    <definedName name="S71T">'Template names'!$B$107</definedName>
    <definedName name="Scale" localSheetId="4">'[1]Compliance assessment'!$L$77</definedName>
    <definedName name="Scale" localSheetId="32">'Template names'!#REF!</definedName>
    <definedName name="Scale" localSheetId="33">'Template names'!#REF!</definedName>
    <definedName name="Scale" localSheetId="23">'Template names'!#REF!</definedName>
    <definedName name="Scale">'Template names'!#REF!</definedName>
    <definedName name="scenario" localSheetId="1">#REF!</definedName>
    <definedName name="scenario" localSheetId="4">#REF!</definedName>
    <definedName name="scenario" localSheetId="32">#REF!</definedName>
    <definedName name="scenario" localSheetId="33">#REF!</definedName>
    <definedName name="scenario" localSheetId="23">#REF!</definedName>
    <definedName name="scenario">#REF!</definedName>
    <definedName name="Sch1a" localSheetId="32">'Template names'!#REF!</definedName>
    <definedName name="Sch1a" localSheetId="33">'Template names'!#REF!</definedName>
    <definedName name="Sch1a" localSheetId="23">'Template names'!#REF!</definedName>
    <definedName name="Sch1a">'Template names'!#REF!</definedName>
    <definedName name="Sch2N" localSheetId="32">'Template names'!#REF!</definedName>
    <definedName name="Sch2N" localSheetId="33">'Template names'!#REF!</definedName>
    <definedName name="Sch2N" localSheetId="23">'Template names'!#REF!</definedName>
    <definedName name="Sch2N">'Template names'!#REF!</definedName>
    <definedName name="Sch5N" localSheetId="32">'Template names'!#REF!</definedName>
    <definedName name="Sch5N" localSheetId="33">'Template names'!#REF!</definedName>
    <definedName name="Sch5N" localSheetId="23">'Template names'!#REF!</definedName>
    <definedName name="Sch5N">'Template names'!#REF!</definedName>
    <definedName name="Sch7N" localSheetId="32">'Template names'!#REF!</definedName>
    <definedName name="Sch7N" localSheetId="33">'Template names'!#REF!</definedName>
    <definedName name="Sch7N" localSheetId="23">'Template names'!#REF!</definedName>
    <definedName name="Sch7N">'Template names'!#REF!</definedName>
    <definedName name="SDBIP1" localSheetId="1">'Template names'!#REF!</definedName>
    <definedName name="SDBIP1" localSheetId="4">'[1]Template names'!#REF!</definedName>
    <definedName name="SDBIP1" localSheetId="32">'Template names'!#REF!</definedName>
    <definedName name="SDBIP1" localSheetId="33">'Template names'!#REF!</definedName>
    <definedName name="SDBIP1" localSheetId="23">'Template names'!#REF!</definedName>
    <definedName name="SDBIP1">'Template names'!#REF!</definedName>
    <definedName name="SDBIP10" localSheetId="1">'Template names'!#REF!</definedName>
    <definedName name="SDBIP10" localSheetId="4">'[1]Template names'!#REF!</definedName>
    <definedName name="SDBIP10" localSheetId="32">'Template names'!#REF!</definedName>
    <definedName name="SDBIP10" localSheetId="33">'Template names'!#REF!</definedName>
    <definedName name="SDBIP10" localSheetId="23">'Template names'!#REF!</definedName>
    <definedName name="SDBIP10">'Template names'!#REF!</definedName>
    <definedName name="SDBIP2" localSheetId="1">'Template names'!#REF!</definedName>
    <definedName name="SDBIP2" localSheetId="4">'[1]Template names'!#REF!</definedName>
    <definedName name="SDBIP2" localSheetId="32">'Template names'!#REF!</definedName>
    <definedName name="SDBIP2" localSheetId="33">'Template names'!#REF!</definedName>
    <definedName name="SDBIP2" localSheetId="23">'Template names'!#REF!</definedName>
    <definedName name="SDBIP2">'Template names'!#REF!</definedName>
    <definedName name="SDBIP3" localSheetId="1">'Template names'!#REF!</definedName>
    <definedName name="SDBIP3" localSheetId="4">'[1]Template names'!#REF!</definedName>
    <definedName name="SDBIP3" localSheetId="32">'Template names'!#REF!</definedName>
    <definedName name="SDBIP3" localSheetId="33">'Template names'!#REF!</definedName>
    <definedName name="SDBIP3" localSheetId="23">'Template names'!#REF!</definedName>
    <definedName name="SDBIP3">'Template names'!#REF!</definedName>
    <definedName name="SDBIP4" localSheetId="1">'Template names'!#REF!</definedName>
    <definedName name="SDBIP4" localSheetId="4">'[1]Template names'!#REF!</definedName>
    <definedName name="SDBIP4" localSheetId="32">'Template names'!#REF!</definedName>
    <definedName name="SDBIP4" localSheetId="33">'Template names'!#REF!</definedName>
    <definedName name="SDBIP4" localSheetId="23">'Template names'!#REF!</definedName>
    <definedName name="SDBIP4">'Template names'!#REF!</definedName>
    <definedName name="SDBIP8" localSheetId="1">'Template names'!#REF!</definedName>
    <definedName name="SDBIP8" localSheetId="4">'[1]Template names'!#REF!</definedName>
    <definedName name="SDBIP8" localSheetId="32">'Template names'!#REF!</definedName>
    <definedName name="SDBIP8" localSheetId="33">'Template names'!#REF!</definedName>
    <definedName name="SDBIP8" localSheetId="23">'Template names'!#REF!</definedName>
    <definedName name="SDBIP8">'Template names'!#REF!</definedName>
    <definedName name="sdcred06" localSheetId="1">#REF!</definedName>
    <definedName name="sdcred06" localSheetId="4">#REF!</definedName>
    <definedName name="sdcred06" localSheetId="33">#REF!</definedName>
    <definedName name="sdcred06">#REF!</definedName>
    <definedName name="SFPerf1">'Template names'!$B$65</definedName>
    <definedName name="SFPerf2" localSheetId="4">'[1]Template names'!$B$65</definedName>
    <definedName name="SFPerf2">'Template names'!$B$66</definedName>
    <definedName name="SFpos1">'Template names'!$B$67</definedName>
    <definedName name="SFpos2">'Template names'!$B$68</definedName>
    <definedName name="TabC19" localSheetId="32">'Template names'!#REF!</definedName>
    <definedName name="TabC19" localSheetId="33">'Template names'!#REF!</definedName>
    <definedName name="TabC19" localSheetId="23">'Template names'!#REF!</definedName>
    <definedName name="TabC19">'Template names'!#REF!</definedName>
    <definedName name="TabC3" localSheetId="1">'Template names'!#REF!</definedName>
    <definedName name="TabC3" localSheetId="4">'[1]Template names'!#REF!</definedName>
    <definedName name="TabC3" localSheetId="32">'Template names'!#REF!</definedName>
    <definedName name="TabC3" localSheetId="33">'Template names'!#REF!</definedName>
    <definedName name="TabC3" localSheetId="23">'Template names'!#REF!</definedName>
    <definedName name="TabC3">'Template names'!#REF!</definedName>
    <definedName name="TabC4" localSheetId="1">'Template names'!#REF!</definedName>
    <definedName name="TabC4" localSheetId="4">'[1]Template names'!#REF!</definedName>
    <definedName name="TabC4" localSheetId="32">'Template names'!#REF!</definedName>
    <definedName name="TabC4" localSheetId="33">'Template names'!#REF!</definedName>
    <definedName name="TabC4" localSheetId="23">'Template names'!#REF!</definedName>
    <definedName name="TabC4">'Template names'!#REF!</definedName>
    <definedName name="TabC5" localSheetId="1">'Template names'!#REF!</definedName>
    <definedName name="TabC5" localSheetId="4">'[1]Template names'!#REF!</definedName>
    <definedName name="TabC5" localSheetId="32">'Template names'!#REF!</definedName>
    <definedName name="TabC5" localSheetId="33">'Template names'!#REF!</definedName>
    <definedName name="TabC5" localSheetId="23">'Template names'!#REF!</definedName>
    <definedName name="TabC5">'Template names'!#REF!</definedName>
    <definedName name="TabC6" localSheetId="1">'Template names'!#REF!</definedName>
    <definedName name="TabC6" localSheetId="4">'[1]Template names'!#REF!</definedName>
    <definedName name="TabC6" localSheetId="32">'Template names'!#REF!</definedName>
    <definedName name="TabC6" localSheetId="33">'Template names'!#REF!</definedName>
    <definedName name="TabC6" localSheetId="23">'Template names'!#REF!</definedName>
    <definedName name="TabC6">'Template names'!#REF!</definedName>
    <definedName name="Tabc7" localSheetId="1">'Template names'!#REF!</definedName>
    <definedName name="Tabc7" localSheetId="4">'[1]Template names'!#REF!</definedName>
    <definedName name="Tabc7" localSheetId="32">'Template names'!#REF!</definedName>
    <definedName name="Tabc7" localSheetId="33">'Template names'!#REF!</definedName>
    <definedName name="Tabc7" localSheetId="23">'Template names'!#REF!</definedName>
    <definedName name="Tabc7">'Template names'!#REF!</definedName>
    <definedName name="Tabc8" localSheetId="1">'Template names'!#REF!</definedName>
    <definedName name="Tabc8" localSheetId="4">'[1]Template names'!#REF!</definedName>
    <definedName name="Tabc8" localSheetId="32">'Template names'!#REF!</definedName>
    <definedName name="Tabc8" localSheetId="33">'Template names'!#REF!</definedName>
    <definedName name="Tabc8" localSheetId="23">'Template names'!#REF!</definedName>
    <definedName name="Tabc8">'Template names'!#REF!</definedName>
    <definedName name="Tabc9" localSheetId="1">'Template names'!#REF!</definedName>
    <definedName name="Tabc9" localSheetId="4">'[1]Template names'!#REF!</definedName>
    <definedName name="Tabc9" localSheetId="32">'Template names'!#REF!</definedName>
    <definedName name="Tabc9" localSheetId="33">'Template names'!#REF!</definedName>
    <definedName name="Tabc9" localSheetId="23">'Template names'!#REF!</definedName>
    <definedName name="Tabc9">'Template names'!#REF!</definedName>
    <definedName name="Tablc8" localSheetId="1">'Template names'!#REF!</definedName>
    <definedName name="Tablc8" localSheetId="4">'[1]Template names'!#REF!</definedName>
    <definedName name="Tablc8" localSheetId="32">'Template names'!#REF!</definedName>
    <definedName name="Tablc8" localSheetId="33">'Template names'!#REF!</definedName>
    <definedName name="Tablc8" localSheetId="23">'Template names'!#REF!</definedName>
    <definedName name="Tablc8">'Template names'!#REF!</definedName>
    <definedName name="Table1" localSheetId="32">'Template names'!#REF!</definedName>
    <definedName name="Table1" localSheetId="33">'Template names'!#REF!</definedName>
    <definedName name="Table1" localSheetId="23">'Template names'!#REF!</definedName>
    <definedName name="Table1">'Template names'!#REF!</definedName>
    <definedName name="Table10" localSheetId="32">'Template names'!#REF!</definedName>
    <definedName name="Table10" localSheetId="33">'Template names'!#REF!</definedName>
    <definedName name="Table10" localSheetId="23">'Template names'!#REF!</definedName>
    <definedName name="Table10">'Template names'!#REF!</definedName>
    <definedName name="Table11" localSheetId="32">'Template names'!#REF!</definedName>
    <definedName name="Table11" localSheetId="33">'Template names'!#REF!</definedName>
    <definedName name="Table11" localSheetId="23">'Template names'!#REF!</definedName>
    <definedName name="Table11">'Template names'!#REF!</definedName>
    <definedName name="Table12" localSheetId="32">'Template names'!#REF!</definedName>
    <definedName name="Table12" localSheetId="33">'Template names'!#REF!</definedName>
    <definedName name="Table12" localSheetId="23">'Template names'!#REF!</definedName>
    <definedName name="Table12">'Template names'!#REF!</definedName>
    <definedName name="Table13" localSheetId="32">'Template names'!#REF!</definedName>
    <definedName name="Table13" localSheetId="33">'Template names'!#REF!</definedName>
    <definedName name="Table13" localSheetId="23">'Template names'!#REF!</definedName>
    <definedName name="Table13">'Template names'!#REF!</definedName>
    <definedName name="Table14" localSheetId="32">'Template names'!#REF!</definedName>
    <definedName name="Table14" localSheetId="33">'Template names'!#REF!</definedName>
    <definedName name="Table14" localSheetId="23">'Template names'!#REF!</definedName>
    <definedName name="Table14">'Template names'!#REF!</definedName>
    <definedName name="Table14A" localSheetId="32">'Template names'!#REF!</definedName>
    <definedName name="Table14A" localSheetId="33">'Template names'!#REF!</definedName>
    <definedName name="Table14A" localSheetId="23">'Template names'!#REF!</definedName>
    <definedName name="Table14A">'Template names'!#REF!</definedName>
    <definedName name="Table14B" localSheetId="32">'Template names'!#REF!</definedName>
    <definedName name="Table14B" localSheetId="33">'Template names'!#REF!</definedName>
    <definedName name="Table14B" localSheetId="23">'Template names'!#REF!</definedName>
    <definedName name="Table14B">'Template names'!#REF!</definedName>
    <definedName name="Table15" localSheetId="32">'Template names'!#REF!</definedName>
    <definedName name="Table15" localSheetId="33">'Template names'!#REF!</definedName>
    <definedName name="Table15" localSheetId="23">'Template names'!#REF!</definedName>
    <definedName name="Table15">'Template names'!#REF!</definedName>
    <definedName name="Table15A" localSheetId="32">'Template names'!#REF!</definedName>
    <definedName name="Table15A" localSheetId="33">'Template names'!#REF!</definedName>
    <definedName name="Table15A" localSheetId="23">'Template names'!#REF!</definedName>
    <definedName name="Table15A">'Template names'!#REF!</definedName>
    <definedName name="Table15New" localSheetId="32">'Template names'!#REF!</definedName>
    <definedName name="Table15New" localSheetId="33">'Template names'!#REF!</definedName>
    <definedName name="Table15New" localSheetId="23">'Template names'!#REF!</definedName>
    <definedName name="Table15New">'Template names'!#REF!</definedName>
    <definedName name="Table16" localSheetId="32">'Template names'!#REF!</definedName>
    <definedName name="Table16" localSheetId="33">'Template names'!#REF!</definedName>
    <definedName name="Table16" localSheetId="23">'Template names'!#REF!</definedName>
    <definedName name="Table16">'Template names'!#REF!</definedName>
    <definedName name="Table17" localSheetId="32">'Template names'!#REF!</definedName>
    <definedName name="Table17" localSheetId="33">'Template names'!#REF!</definedName>
    <definedName name="Table17" localSheetId="23">'Template names'!#REF!</definedName>
    <definedName name="Table17">'Template names'!#REF!</definedName>
    <definedName name="Table18" localSheetId="32">'Template names'!#REF!</definedName>
    <definedName name="Table18" localSheetId="33">'Template names'!#REF!</definedName>
    <definedName name="Table18" localSheetId="23">'Template names'!#REF!</definedName>
    <definedName name="Table18">'Template names'!#REF!</definedName>
    <definedName name="Table19" localSheetId="32">'Template names'!#REF!</definedName>
    <definedName name="Table19" localSheetId="33">'Template names'!#REF!</definedName>
    <definedName name="Table19" localSheetId="23">'Template names'!#REF!</definedName>
    <definedName name="Table19">'Template names'!#REF!</definedName>
    <definedName name="Table2" localSheetId="32">'Template names'!#REF!</definedName>
    <definedName name="Table2" localSheetId="33">'Template names'!#REF!</definedName>
    <definedName name="Table2" localSheetId="23">'Template names'!#REF!</definedName>
    <definedName name="Table2">'Template names'!#REF!</definedName>
    <definedName name="Table20" localSheetId="32">'Template names'!#REF!</definedName>
    <definedName name="Table20" localSheetId="33">'Template names'!#REF!</definedName>
    <definedName name="Table20" localSheetId="23">'Template names'!#REF!</definedName>
    <definedName name="Table20">'Template names'!#REF!</definedName>
    <definedName name="Table21" localSheetId="32">'Template names'!#REF!</definedName>
    <definedName name="Table21" localSheetId="33">'Template names'!#REF!</definedName>
    <definedName name="Table21" localSheetId="23">'Template names'!#REF!</definedName>
    <definedName name="Table21">'Template names'!#REF!</definedName>
    <definedName name="Table22" localSheetId="32">'Template names'!#REF!</definedName>
    <definedName name="Table22" localSheetId="33">'Template names'!#REF!</definedName>
    <definedName name="Table22" localSheetId="23">'Template names'!#REF!</definedName>
    <definedName name="Table22">'Template names'!#REF!</definedName>
    <definedName name="Table23" localSheetId="32">'Template names'!#REF!</definedName>
    <definedName name="Table23" localSheetId="33">'Template names'!#REF!</definedName>
    <definedName name="Table23" localSheetId="23">'Template names'!#REF!</definedName>
    <definedName name="Table23">'Template names'!#REF!</definedName>
    <definedName name="Table24" localSheetId="32">'Template names'!#REF!</definedName>
    <definedName name="Table24" localSheetId="33">'Template names'!#REF!</definedName>
    <definedName name="Table24" localSheetId="23">'Template names'!#REF!</definedName>
    <definedName name="Table24">'Template names'!#REF!</definedName>
    <definedName name="Table24A" localSheetId="32">'Template names'!#REF!</definedName>
    <definedName name="Table24A" localSheetId="33">'Template names'!#REF!</definedName>
    <definedName name="Table24A" localSheetId="23">'Template names'!#REF!</definedName>
    <definedName name="Table24A">'Template names'!#REF!</definedName>
    <definedName name="Table25" localSheetId="32">'Template names'!#REF!</definedName>
    <definedName name="Table25" localSheetId="33">'Template names'!#REF!</definedName>
    <definedName name="Table25" localSheetId="23">'Template names'!#REF!</definedName>
    <definedName name="Table25">'Template names'!#REF!</definedName>
    <definedName name="Table26" localSheetId="32">'Template names'!#REF!</definedName>
    <definedName name="Table26" localSheetId="33">'Template names'!#REF!</definedName>
    <definedName name="Table26" localSheetId="23">'Template names'!#REF!</definedName>
    <definedName name="Table26">'Template names'!#REF!</definedName>
    <definedName name="Table27" localSheetId="32">'Template names'!#REF!</definedName>
    <definedName name="Table27" localSheetId="33">'Template names'!#REF!</definedName>
    <definedName name="Table27" localSheetId="23">'Template names'!#REF!</definedName>
    <definedName name="Table27">'Template names'!#REF!</definedName>
    <definedName name="Table28" localSheetId="32">'Template names'!#REF!</definedName>
    <definedName name="Table28" localSheetId="33">'Template names'!#REF!</definedName>
    <definedName name="Table28" localSheetId="23">'Template names'!#REF!</definedName>
    <definedName name="Table28">'Template names'!#REF!</definedName>
    <definedName name="Table29" localSheetId="32">'Template names'!#REF!</definedName>
    <definedName name="Table29" localSheetId="33">'Template names'!#REF!</definedName>
    <definedName name="Table29" localSheetId="23">'Template names'!#REF!</definedName>
    <definedName name="Table29">'Template names'!#REF!</definedName>
    <definedName name="Table3" localSheetId="32">'Template names'!#REF!</definedName>
    <definedName name="Table3" localSheetId="33">'Template names'!#REF!</definedName>
    <definedName name="Table3" localSheetId="23">'Template names'!#REF!</definedName>
    <definedName name="Table3">'Template names'!#REF!</definedName>
    <definedName name="Table30" localSheetId="32">'Template names'!#REF!</definedName>
    <definedName name="Table30" localSheetId="33">'Template names'!#REF!</definedName>
    <definedName name="Table30" localSheetId="23">'Template names'!#REF!</definedName>
    <definedName name="Table30">'Template names'!#REF!</definedName>
    <definedName name="Table31" localSheetId="32">'Template names'!#REF!</definedName>
    <definedName name="Table31" localSheetId="33">'Template names'!#REF!</definedName>
    <definedName name="Table31" localSheetId="23">'Template names'!#REF!</definedName>
    <definedName name="Table31">'Template names'!#REF!</definedName>
    <definedName name="Table32" localSheetId="32">'Template names'!#REF!</definedName>
    <definedName name="Table32" localSheetId="33">'Template names'!#REF!</definedName>
    <definedName name="Table32" localSheetId="23">'Template names'!#REF!</definedName>
    <definedName name="Table32">'Template names'!#REF!</definedName>
    <definedName name="Table33" localSheetId="32">'Template names'!#REF!</definedName>
    <definedName name="Table33" localSheetId="33">'Template names'!#REF!</definedName>
    <definedName name="Table33" localSheetId="23">'Template names'!#REF!</definedName>
    <definedName name="Table33">'Template names'!#REF!</definedName>
    <definedName name="Table4" localSheetId="32">'Template names'!#REF!</definedName>
    <definedName name="Table4" localSheetId="33">'Template names'!#REF!</definedName>
    <definedName name="Table4" localSheetId="23">'Template names'!#REF!</definedName>
    <definedName name="Table4">'Template names'!#REF!</definedName>
    <definedName name="Table5" localSheetId="32">'Template names'!#REF!</definedName>
    <definedName name="Table5" localSheetId="33">'Template names'!#REF!</definedName>
    <definedName name="Table5" localSheetId="23">'Template names'!#REF!</definedName>
    <definedName name="Table5">'Template names'!#REF!</definedName>
    <definedName name="Table6" localSheetId="32">'Template names'!#REF!</definedName>
    <definedName name="Table6" localSheetId="33">'Template names'!#REF!</definedName>
    <definedName name="Table6" localSheetId="23">'Template names'!#REF!</definedName>
    <definedName name="Table6">'Template names'!#REF!</definedName>
    <definedName name="Table7" localSheetId="32">'Template names'!#REF!</definedName>
    <definedName name="Table7" localSheetId="33">'Template names'!#REF!</definedName>
    <definedName name="Table7" localSheetId="23">'Template names'!#REF!</definedName>
    <definedName name="Table7">'Template names'!#REF!</definedName>
    <definedName name="Table8" localSheetId="32">'Template names'!#REF!</definedName>
    <definedName name="Table8" localSheetId="33">'Template names'!#REF!</definedName>
    <definedName name="Table8" localSheetId="23">'Template names'!#REF!</definedName>
    <definedName name="Table8">'Template names'!#REF!</definedName>
    <definedName name="Table9" localSheetId="32">'Template names'!#REF!</definedName>
    <definedName name="Table9" localSheetId="33">'Template names'!#REF!</definedName>
    <definedName name="Table9" localSheetId="23">'Template names'!#REF!</definedName>
    <definedName name="Table9">'Template names'!#REF!</definedName>
    <definedName name="TableA1">'[1]Template names'!$B$111</definedName>
    <definedName name="TableA10">'[1]Template names'!$B$120</definedName>
    <definedName name="TableA11">'[1]Template names'!$B$121</definedName>
    <definedName name="TableA12a">'[1]Template names'!$B$122</definedName>
    <definedName name="TableA12b">'[1]Template names'!$B$123</definedName>
    <definedName name="TableA13">'[1]Template names'!$B$124</definedName>
    <definedName name="TableA14">'[1]Template names'!$B$125</definedName>
    <definedName name="TableA15">'[1]Template names'!$B$126</definedName>
    <definedName name="TableA16">'[1]Template names'!$B$127</definedName>
    <definedName name="TableA17">'[1]Template names'!$B$128</definedName>
    <definedName name="TableA18">'[1]Template names'!$B$129</definedName>
    <definedName name="TableA19">'[1]Template names'!$B$130</definedName>
    <definedName name="TableA2">'[1]Template names'!$B$112</definedName>
    <definedName name="TableA20">'[1]Template names'!$B$131</definedName>
    <definedName name="TableA21">'[1]Template names'!$B$132</definedName>
    <definedName name="TableA22">'[1]Template names'!$B$133</definedName>
    <definedName name="TableA23">'[1]Template names'!$B$134</definedName>
    <definedName name="TableA24">'[1]Template names'!$B$135</definedName>
    <definedName name="TableA25">'[1]Template names'!$B$136</definedName>
    <definedName name="TableA26">'[1]Template names'!$B$137</definedName>
    <definedName name="TableA27">'[1]Template names'!$B$138</definedName>
    <definedName name="TableA28">'[1]Template names'!$B$139</definedName>
    <definedName name="TableA29">'[1]Template names'!$B$140</definedName>
    <definedName name="TableA3">'[1]Template names'!$B$113</definedName>
    <definedName name="TableA30">'[1]Template names'!$B$141</definedName>
    <definedName name="TableA31">'[1]Template names'!$B$142</definedName>
    <definedName name="TableA32">'[1]Template names'!$B$143</definedName>
    <definedName name="TableA33">'[1]Template names'!$B$144</definedName>
    <definedName name="TableA34a">'[1]Template names'!$B$145</definedName>
    <definedName name="TableA34b">'[1]Template names'!$B$146</definedName>
    <definedName name="TableA34c">'[1]Template names'!$B$147</definedName>
    <definedName name="TableA34d">'[1]Template names'!$B$148</definedName>
    <definedName name="TableA35">'[1]Template names'!$B$149</definedName>
    <definedName name="TableA36">'[1]Template names'!$B$150</definedName>
    <definedName name="TableA37">'[1]Template names'!$B$151</definedName>
    <definedName name="TableA4">'[1]Template names'!$B$114</definedName>
    <definedName name="TableA5">'[1]Template names'!$B$115</definedName>
    <definedName name="TableA6">'[1]Template names'!$B$116</definedName>
    <definedName name="TableA7">'[1]Template names'!$B$117</definedName>
    <definedName name="TableA8">'[1]Template names'!$B$118</definedName>
    <definedName name="TableA9" localSheetId="4">'[1]Template names'!$B$119</definedName>
    <definedName name="TableA9">'[5]Template names'!$B$119</definedName>
    <definedName name="TableD7" localSheetId="1">'Template names'!#REF!</definedName>
    <definedName name="TableD7" localSheetId="4">'[1]Template names'!#REF!</definedName>
    <definedName name="TableD7" localSheetId="32">'Template names'!#REF!</definedName>
    <definedName name="TableD7" localSheetId="33">'Template names'!#REF!</definedName>
    <definedName name="TableD7" localSheetId="23">'Template names'!#REF!</definedName>
    <definedName name="TableD7">'Template names'!#REF!</definedName>
    <definedName name="TableD8" localSheetId="1">'Template names'!#REF!</definedName>
    <definedName name="TableD8" localSheetId="4">'[1]Template names'!#REF!</definedName>
    <definedName name="TableD8" localSheetId="32">'Template names'!#REF!</definedName>
    <definedName name="TableD8" localSheetId="33">'Template names'!#REF!</definedName>
    <definedName name="TableD8" localSheetId="23">'Template names'!#REF!</definedName>
    <definedName name="TableD8">'Template names'!#REF!</definedName>
    <definedName name="TableE4" localSheetId="1">'Template names'!#REF!</definedName>
    <definedName name="TableE4" localSheetId="4">'[1]Template names'!#REF!</definedName>
    <definedName name="TableE4" localSheetId="32">'Template names'!#REF!</definedName>
    <definedName name="TableE4" localSheetId="33">'Template names'!#REF!</definedName>
    <definedName name="TableE4" localSheetId="23">'Template names'!#REF!</definedName>
    <definedName name="TableE4">'Template names'!#REF!</definedName>
    <definedName name="TableE7" localSheetId="1">'Template names'!#REF!</definedName>
    <definedName name="TableE7" localSheetId="4">'[1]Template names'!#REF!</definedName>
    <definedName name="TableE7" localSheetId="32">'Template names'!#REF!</definedName>
    <definedName name="TableE7" localSheetId="33">'Template names'!#REF!</definedName>
    <definedName name="TableE7" localSheetId="23">'Template names'!#REF!</definedName>
    <definedName name="TableE7">'Template names'!#REF!</definedName>
    <definedName name="TableE9" localSheetId="1">'Template names'!#REF!</definedName>
    <definedName name="TableE9" localSheetId="4">'[1]Template names'!#REF!</definedName>
    <definedName name="TableE9" localSheetId="32">'Template names'!#REF!</definedName>
    <definedName name="TableE9" localSheetId="33">'Template names'!#REF!</definedName>
    <definedName name="TableE9" localSheetId="23">'Template names'!#REF!</definedName>
    <definedName name="TableE9">'Template names'!#REF!</definedName>
    <definedName name="TableF6" localSheetId="1">'Template names'!#REF!</definedName>
    <definedName name="TableF6" localSheetId="4">'[1]Template names'!#REF!</definedName>
    <definedName name="TableF6" localSheetId="32">'Template names'!#REF!</definedName>
    <definedName name="TableF6" localSheetId="33">'Template names'!#REF!</definedName>
    <definedName name="TableF6" localSheetId="23">'Template names'!#REF!</definedName>
    <definedName name="TableF6">'Template names'!#REF!</definedName>
    <definedName name="tariffdisc05" localSheetId="1">#REF!</definedName>
    <definedName name="tariffdisc05" localSheetId="4">#REF!</definedName>
    <definedName name="tariffdisc05" localSheetId="32">#REF!</definedName>
    <definedName name="tariffdisc05" localSheetId="33">#REF!</definedName>
    <definedName name="tariffdisc05" localSheetId="23">#REF!</definedName>
    <definedName name="tariffdisc05">#REF!</definedName>
    <definedName name="tariffdisc06" localSheetId="1">#REF!</definedName>
    <definedName name="tariffdisc06" localSheetId="4">#REF!</definedName>
    <definedName name="tariffdisc06" localSheetId="33">#REF!</definedName>
    <definedName name="tariffdisc06">#REF!</definedName>
    <definedName name="tariffdisc07" localSheetId="1">#REF!</definedName>
    <definedName name="tariffdisc07" localSheetId="4">#REF!</definedName>
    <definedName name="tariffdisc07" localSheetId="33">#REF!</definedName>
    <definedName name="tariffdisc07">#REF!</definedName>
    <definedName name="tariffdisc08" localSheetId="1">#REF!</definedName>
    <definedName name="tariffdisc08" localSheetId="4">#REF!</definedName>
    <definedName name="tariffdisc08" localSheetId="33">#REF!</definedName>
    <definedName name="tariffdisc08">#REF!</definedName>
    <definedName name="tariffdisc09" localSheetId="1">#REF!</definedName>
    <definedName name="tariffdisc09" localSheetId="4">#REF!</definedName>
    <definedName name="tariffdisc09" localSheetId="33">#REF!</definedName>
    <definedName name="tariffdisc09">#REF!</definedName>
    <definedName name="tariffdisc10" localSheetId="1">#REF!</definedName>
    <definedName name="tariffdisc10" localSheetId="4">#REF!</definedName>
    <definedName name="tariffdisc10" localSheetId="33">#REF!</definedName>
    <definedName name="tariffdisc10">#REF!</definedName>
    <definedName name="tariffdisc11" localSheetId="1">#REF!</definedName>
    <definedName name="tariffdisc11" localSheetId="4">#REF!</definedName>
    <definedName name="tariffdisc11" localSheetId="33">#REF!</definedName>
    <definedName name="tariffdisc11">#REF!</definedName>
    <definedName name="tariffdisc12" localSheetId="1">#REF!</definedName>
    <definedName name="tariffdisc12" localSheetId="4">#REF!</definedName>
    <definedName name="tariffdisc12" localSheetId="33">#REF!</definedName>
    <definedName name="tariffdisc12">#REF!</definedName>
    <definedName name="tariffdisc13" localSheetId="1">#REF!</definedName>
    <definedName name="tariffdisc13" localSheetId="4">#REF!</definedName>
    <definedName name="tariffdisc13" localSheetId="33">#REF!</definedName>
    <definedName name="tariffdisc13">#REF!</definedName>
    <definedName name="tariffdisc14" localSheetId="1">#REF!</definedName>
    <definedName name="tariffdisc14" localSheetId="4">#REF!</definedName>
    <definedName name="tariffdisc14" localSheetId="33">#REF!</definedName>
    <definedName name="tariffdisc14">#REF!</definedName>
    <definedName name="tariffdisc15" localSheetId="1">#REF!</definedName>
    <definedName name="tariffdisc15" localSheetId="4">#REF!</definedName>
    <definedName name="tariffdisc15" localSheetId="33">#REF!</definedName>
    <definedName name="tariffdisc15">#REF!</definedName>
    <definedName name="tariffdisc16" localSheetId="1">#REF!</definedName>
    <definedName name="tariffdisc16" localSheetId="4">#REF!</definedName>
    <definedName name="tariffdisc16" localSheetId="33">#REF!</definedName>
    <definedName name="tariffdisc16">#REF!</definedName>
    <definedName name="tariffdisc17" localSheetId="1">#REF!</definedName>
    <definedName name="tariffdisc17" localSheetId="4">#REF!</definedName>
    <definedName name="tariffdisc17" localSheetId="33">#REF!</definedName>
    <definedName name="tariffdisc17">#REF!</definedName>
    <definedName name="tariffdisc18" localSheetId="1">#REF!</definedName>
    <definedName name="tariffdisc18" localSheetId="4">#REF!</definedName>
    <definedName name="tariffdisc18" localSheetId="33">#REF!</definedName>
    <definedName name="tariffdisc18">#REF!</definedName>
    <definedName name="tariffdisc19" localSheetId="1">#REF!</definedName>
    <definedName name="tariffdisc19" localSheetId="4">#REF!</definedName>
    <definedName name="tariffdisc19" localSheetId="33">#REF!</definedName>
    <definedName name="tariffdisc19">#REF!</definedName>
    <definedName name="tariffdisc20" localSheetId="1">#REF!</definedName>
    <definedName name="tariffdisc20" localSheetId="4">#REF!</definedName>
    <definedName name="tariffdisc20" localSheetId="33">#REF!</definedName>
    <definedName name="tariffdisc20">#REF!</definedName>
    <definedName name="title1" localSheetId="1">#REF!</definedName>
    <definedName name="title1" localSheetId="4">#REF!</definedName>
    <definedName name="title1" localSheetId="33">#REF!</definedName>
    <definedName name="title1">#REF!</definedName>
    <definedName name="Vdesc" localSheetId="4">'[1]Template names'!$B$32</definedName>
    <definedName name="Vdesc">'Template names'!$B$29</definedName>
    <definedName name="Vote" localSheetId="4">'Org structure'!$A$2:$A$16</definedName>
    <definedName name="Vote" localSheetId="33">#REF!</definedName>
    <definedName name="Vote">#REF!</definedName>
    <definedName name="Vote1" localSheetId="4">'Org structure'!$D$3:$D$12</definedName>
    <definedName name="Vote1" localSheetId="33">#REF!</definedName>
    <definedName name="Vote1">#REF!</definedName>
    <definedName name="Vote10" localSheetId="4">'Org structure'!$D$102:$D$111</definedName>
    <definedName name="Vote10" localSheetId="33">#REF!</definedName>
    <definedName name="Vote10">#REF!</definedName>
    <definedName name="Vote11" localSheetId="4">'Org structure'!$D$113:$D$122</definedName>
    <definedName name="Vote11" localSheetId="33">#REF!</definedName>
    <definedName name="Vote11">#REF!</definedName>
    <definedName name="Vote12" localSheetId="4">'Org structure'!$D$124:$D$133</definedName>
    <definedName name="Vote12" localSheetId="33">#REF!</definedName>
    <definedName name="Vote12">#REF!</definedName>
    <definedName name="Vote13" localSheetId="4">'Org structure'!$D$135:$D$144</definedName>
    <definedName name="Vote13" localSheetId="33">#REF!</definedName>
    <definedName name="Vote13">#REF!</definedName>
    <definedName name="Vote14" localSheetId="4">'Org structure'!$D$146:$D$155</definedName>
    <definedName name="Vote14" localSheetId="33">#REF!</definedName>
    <definedName name="Vote14">#REF!</definedName>
    <definedName name="Vote15" localSheetId="4">'Org structure'!$D$157:$D$166</definedName>
    <definedName name="Vote15" localSheetId="33">#REF!</definedName>
    <definedName name="Vote15">#REF!</definedName>
    <definedName name="Vote2" localSheetId="4">'Org structure'!$D$14:$D$23</definedName>
    <definedName name="Vote2" localSheetId="33">#REF!</definedName>
    <definedName name="Vote2">#REF!</definedName>
    <definedName name="Vote3" localSheetId="4">'Org structure'!$D$25:$D$34</definedName>
    <definedName name="Vote3" localSheetId="33">#REF!</definedName>
    <definedName name="Vote3">#REF!</definedName>
    <definedName name="Vote4" localSheetId="4">'Org structure'!$D$36:$D$45</definedName>
    <definedName name="Vote4" localSheetId="33">#REF!</definedName>
    <definedName name="Vote4">#REF!</definedName>
    <definedName name="Vote5" localSheetId="4">'Org structure'!$D$47:$D$56</definedName>
    <definedName name="Vote5" localSheetId="33">#REF!</definedName>
    <definedName name="Vote5">#REF!</definedName>
    <definedName name="Vote6" localSheetId="4">'Org structure'!$D$58:$D$67</definedName>
    <definedName name="Vote6" localSheetId="33">#REF!</definedName>
    <definedName name="Vote6">#REF!</definedName>
    <definedName name="Vote7" localSheetId="4">'Org structure'!$D$69:$D$78</definedName>
    <definedName name="Vote7" localSheetId="33">#REF!</definedName>
    <definedName name="Vote7">#REF!</definedName>
    <definedName name="Vote8" localSheetId="4">'Org structure'!$D$80:$D$89</definedName>
    <definedName name="Vote8" localSheetId="33">#REF!</definedName>
    <definedName name="Vote8">#REF!</definedName>
    <definedName name="Vote9" localSheetId="4">'Org structure'!$D$91:$D$100</definedName>
    <definedName name="Vote9" localSheetId="33">#REF!</definedName>
    <definedName name="Vote9">#REF!</definedName>
    <definedName name="YesNo">'Lookup and lists'!$V$2:$V$3</definedName>
    <definedName name="yrend">[3]Data!$B$3</definedName>
  </definedNames>
  <calcPr calcId="162913"/>
  <fileRecoveryPr autoRecover="0"/>
</workbook>
</file>

<file path=xl/calcChain.xml><?xml version="1.0" encoding="utf-8"?>
<calcChain xmlns="http://schemas.openxmlformats.org/spreadsheetml/2006/main">
  <c r="H246" i="330" l="1"/>
  <c r="F15" i="177" l="1"/>
  <c r="G28" i="323" l="1"/>
  <c r="F28" i="323"/>
  <c r="F10" i="330"/>
  <c r="G10" i="330"/>
  <c r="H158" i="335" l="1"/>
  <c r="H152" i="335"/>
  <c r="H149" i="335"/>
  <c r="H108" i="335"/>
  <c r="H77" i="335"/>
  <c r="H46" i="335"/>
  <c r="H30" i="335"/>
  <c r="H18" i="335"/>
  <c r="H9" i="335"/>
  <c r="H158" i="333"/>
  <c r="H155" i="333"/>
  <c r="H152" i="333"/>
  <c r="H149" i="333"/>
  <c r="H145" i="333"/>
  <c r="H144" i="333"/>
  <c r="H129" i="333"/>
  <c r="H122" i="333"/>
  <c r="H119" i="333"/>
  <c r="H102" i="333"/>
  <c r="H101" i="333"/>
  <c r="H100" i="333"/>
  <c r="H92" i="333"/>
  <c r="H89" i="333"/>
  <c r="H86" i="333"/>
  <c r="H81" i="333"/>
  <c r="H80" i="333"/>
  <c r="H77" i="333"/>
  <c r="H30" i="333"/>
  <c r="H22" i="333"/>
  <c r="H21" i="333"/>
  <c r="H20" i="333"/>
  <c r="H19" i="333"/>
  <c r="H12" i="333"/>
  <c r="H9" i="333"/>
  <c r="H105" i="325"/>
  <c r="H93" i="325"/>
  <c r="H90" i="325"/>
  <c r="H88" i="325"/>
  <c r="H86" i="325"/>
  <c r="H80" i="325"/>
  <c r="H77" i="325"/>
  <c r="H46" i="325"/>
  <c r="H41" i="325"/>
  <c r="H34" i="325"/>
  <c r="H18" i="325"/>
  <c r="H9" i="325"/>
  <c r="H155" i="326"/>
  <c r="H152" i="326"/>
  <c r="H46" i="326"/>
  <c r="H9" i="326"/>
  <c r="H161" i="242"/>
  <c r="H158" i="242"/>
  <c r="H155" i="242"/>
  <c r="H152" i="242"/>
  <c r="H149" i="242"/>
  <c r="H144" i="242"/>
  <c r="H119" i="242"/>
  <c r="H108" i="242"/>
  <c r="H88" i="242"/>
  <c r="H84" i="242"/>
  <c r="H77" i="242"/>
  <c r="H40" i="242"/>
  <c r="H18" i="242"/>
  <c r="H9" i="242"/>
  <c r="H39" i="181"/>
  <c r="H34" i="181"/>
  <c r="H33" i="181"/>
  <c r="H32" i="181"/>
  <c r="H31" i="181"/>
  <c r="H30" i="181"/>
  <c r="H29" i="181"/>
  <c r="H28" i="181"/>
  <c r="H27" i="181"/>
  <c r="H26" i="181"/>
  <c r="H25" i="181"/>
  <c r="H20" i="181"/>
  <c r="H19" i="181"/>
  <c r="H18" i="181"/>
  <c r="H17" i="181"/>
  <c r="H16" i="181"/>
  <c r="H14" i="181"/>
  <c r="H13" i="181"/>
  <c r="H12" i="181"/>
  <c r="H10" i="181"/>
  <c r="H9" i="181"/>
  <c r="H8" i="181"/>
  <c r="H7" i="181"/>
  <c r="H6" i="181"/>
  <c r="H95" i="318"/>
  <c r="H93" i="318"/>
  <c r="H92" i="318"/>
  <c r="H91" i="318"/>
  <c r="H90" i="318"/>
  <c r="H89" i="318"/>
  <c r="H88" i="318"/>
  <c r="H87" i="318"/>
  <c r="H77" i="318"/>
  <c r="H76" i="318"/>
  <c r="H75" i="318"/>
  <c r="H73" i="318"/>
  <c r="H71" i="318"/>
  <c r="H44" i="318"/>
  <c r="H42" i="318"/>
  <c r="H41" i="318"/>
  <c r="H40" i="318"/>
  <c r="H39" i="318"/>
  <c r="H38" i="318"/>
  <c r="H37" i="318"/>
  <c r="H36" i="318"/>
  <c r="H35" i="318"/>
  <c r="H34" i="318"/>
  <c r="H25" i="318"/>
  <c r="H24" i="318"/>
  <c r="H23" i="318"/>
  <c r="H22" i="318"/>
  <c r="H20" i="318"/>
  <c r="H19" i="318"/>
  <c r="H18" i="318"/>
  <c r="H12" i="318"/>
  <c r="H11" i="318"/>
  <c r="H10" i="318"/>
  <c r="H9" i="318"/>
  <c r="H8" i="318"/>
  <c r="H7" i="318"/>
  <c r="H57" i="269"/>
  <c r="H55" i="269"/>
  <c r="H54" i="269"/>
  <c r="H52" i="269"/>
  <c r="H51" i="269"/>
  <c r="H50" i="269"/>
  <c r="H43" i="269"/>
  <c r="H39" i="269"/>
  <c r="H37" i="269"/>
  <c r="H28" i="269"/>
  <c r="H27" i="269"/>
  <c r="H26" i="269"/>
  <c r="H24" i="269"/>
  <c r="H23" i="269"/>
  <c r="H22" i="269"/>
  <c r="H21" i="269"/>
  <c r="H16" i="269"/>
  <c r="H12" i="269"/>
  <c r="H10" i="269"/>
  <c r="H9" i="269"/>
  <c r="H16" i="270"/>
  <c r="H56" i="270"/>
  <c r="H54" i="270"/>
  <c r="H53" i="270"/>
  <c r="H51" i="270"/>
  <c r="H50" i="270"/>
  <c r="H49" i="270"/>
  <c r="H43" i="270"/>
  <c r="H39" i="270"/>
  <c r="H37" i="270"/>
  <c r="H28" i="270"/>
  <c r="H27" i="270"/>
  <c r="H26" i="270"/>
  <c r="H24" i="270"/>
  <c r="H23" i="270"/>
  <c r="H22" i="270"/>
  <c r="H21" i="270"/>
  <c r="H12" i="270"/>
  <c r="H10" i="270"/>
  <c r="H9" i="270"/>
  <c r="H36" i="177"/>
  <c r="H27" i="177"/>
  <c r="H17" i="177"/>
  <c r="H16" i="177"/>
  <c r="H15" i="177"/>
  <c r="H12" i="177"/>
  <c r="H11" i="177"/>
  <c r="H10" i="177"/>
  <c r="H9" i="177"/>
  <c r="H8" i="177"/>
  <c r="H7" i="177"/>
  <c r="H165" i="324"/>
  <c r="H207" i="324"/>
  <c r="H206" i="324"/>
  <c r="H205" i="324"/>
  <c r="H197" i="324"/>
  <c r="H196" i="324"/>
  <c r="H194" i="324"/>
  <c r="H175" i="324"/>
  <c r="H174" i="324"/>
  <c r="H172" i="324"/>
  <c r="H162" i="324"/>
  <c r="H161" i="324"/>
  <c r="H38" i="324"/>
  <c r="H37" i="324"/>
  <c r="H36" i="324"/>
  <c r="H33" i="324"/>
  <c r="H32" i="324"/>
  <c r="H22" i="324"/>
  <c r="H21" i="324"/>
  <c r="H14" i="324"/>
  <c r="H9" i="324"/>
  <c r="H73" i="268"/>
  <c r="H67" i="268"/>
  <c r="H66" i="268"/>
  <c r="H62" i="268"/>
  <c r="H61" i="268"/>
  <c r="H60" i="268"/>
  <c r="H59" i="268"/>
  <c r="H58" i="268"/>
  <c r="H55" i="268"/>
  <c r="H54" i="268"/>
  <c r="H51" i="268"/>
  <c r="H48" i="268"/>
  <c r="H45" i="268"/>
  <c r="H44" i="268"/>
  <c r="H39" i="182"/>
  <c r="H34" i="182"/>
  <c r="H33" i="182"/>
  <c r="H32" i="182"/>
  <c r="H31" i="182"/>
  <c r="H30" i="182"/>
  <c r="H29" i="182"/>
  <c r="H28" i="182"/>
  <c r="H27" i="182"/>
  <c r="H26" i="182"/>
  <c r="H25" i="182"/>
  <c r="H20" i="182"/>
  <c r="H19" i="182"/>
  <c r="H18" i="182"/>
  <c r="H17" i="182"/>
  <c r="H16" i="182"/>
  <c r="H14" i="182"/>
  <c r="H13" i="182"/>
  <c r="H12" i="182"/>
  <c r="H10" i="182"/>
  <c r="H9" i="182"/>
  <c r="H8" i="182"/>
  <c r="H7" i="182"/>
  <c r="H6" i="182"/>
  <c r="H230" i="323"/>
  <c r="H223" i="323"/>
  <c r="H222" i="323"/>
  <c r="H221" i="323"/>
  <c r="H220" i="323"/>
  <c r="H219" i="323"/>
  <c r="H212" i="323"/>
  <c r="H211" i="323"/>
  <c r="H210" i="323"/>
  <c r="H209" i="323"/>
  <c r="H208" i="323"/>
  <c r="H198" i="323"/>
  <c r="H190" i="323"/>
  <c r="H189" i="323"/>
  <c r="H188" i="323"/>
  <c r="H187" i="323"/>
  <c r="H186" i="323"/>
  <c r="H178" i="323"/>
  <c r="H177" i="323"/>
  <c r="H176" i="323"/>
  <c r="H175" i="323"/>
  <c r="H65" i="323"/>
  <c r="H64" i="323"/>
  <c r="H63" i="323"/>
  <c r="H54" i="323"/>
  <c r="H53" i="323"/>
  <c r="H52" i="323"/>
  <c r="H51" i="323"/>
  <c r="H42" i="323"/>
  <c r="H41" i="323"/>
  <c r="H40" i="323"/>
  <c r="H32" i="323"/>
  <c r="H31" i="323"/>
  <c r="H30" i="323"/>
  <c r="H29" i="323"/>
  <c r="H21" i="323"/>
  <c r="H19" i="323"/>
  <c r="H8" i="323"/>
  <c r="H65" i="330"/>
  <c r="H245" i="330"/>
  <c r="H244" i="330"/>
  <c r="H243" i="330"/>
  <c r="H242" i="330"/>
  <c r="H238" i="330"/>
  <c r="H237" i="330"/>
  <c r="H234" i="330"/>
  <c r="H233" i="330"/>
  <c r="H232" i="330"/>
  <c r="H231" i="330"/>
  <c r="H224" i="330"/>
  <c r="H223" i="330"/>
  <c r="H219" i="330"/>
  <c r="H218" i="330"/>
  <c r="H213" i="330"/>
  <c r="H212" i="330"/>
  <c r="H211" i="330"/>
  <c r="H210" i="330"/>
  <c r="H205" i="330"/>
  <c r="H203" i="330"/>
  <c r="H200" i="330"/>
  <c r="H191" i="330"/>
  <c r="H187" i="330"/>
  <c r="H182" i="330"/>
  <c r="H178" i="330"/>
  <c r="H175" i="330"/>
  <c r="H174" i="330"/>
  <c r="H167" i="330"/>
  <c r="H166" i="330"/>
  <c r="H163" i="330"/>
  <c r="H155" i="330"/>
  <c r="H153" i="330"/>
  <c r="H152" i="330"/>
  <c r="H150" i="330"/>
  <c r="H147" i="330"/>
  <c r="H144" i="330"/>
  <c r="H143" i="330"/>
  <c r="H141" i="330"/>
  <c r="H140" i="330"/>
  <c r="H139" i="330"/>
  <c r="H138" i="330"/>
  <c r="H137" i="330"/>
  <c r="H135" i="330"/>
  <c r="H134" i="330"/>
  <c r="H133" i="330"/>
  <c r="H131" i="330"/>
  <c r="H130" i="330"/>
  <c r="H123" i="330"/>
  <c r="H121" i="330"/>
  <c r="H120" i="330"/>
  <c r="H115" i="330"/>
  <c r="H110" i="330"/>
  <c r="H106" i="330"/>
  <c r="H102" i="330"/>
  <c r="H101" i="330"/>
  <c r="H97" i="330"/>
  <c r="H88" i="330"/>
  <c r="H83" i="330"/>
  <c r="H62" i="330"/>
  <c r="H60" i="330"/>
  <c r="H53" i="330"/>
  <c r="H44" i="330"/>
  <c r="H41" i="330"/>
  <c r="H33" i="330"/>
  <c r="H31" i="330"/>
  <c r="H17" i="330"/>
  <c r="H16" i="330"/>
  <c r="H15" i="330"/>
  <c r="H13" i="330"/>
  <c r="H9" i="330"/>
  <c r="K95" i="318" l="1"/>
  <c r="K165" i="324"/>
  <c r="K162" i="324"/>
  <c r="K77" i="335"/>
  <c r="K158" i="242"/>
  <c r="K196" i="324"/>
  <c r="K158" i="335" l="1"/>
  <c r="K152" i="335"/>
  <c r="K149" i="335"/>
  <c r="K108" i="335"/>
  <c r="K46" i="335"/>
  <c r="K30" i="335"/>
  <c r="K18" i="335"/>
  <c r="K9" i="335"/>
  <c r="K158" i="333"/>
  <c r="K155" i="333"/>
  <c r="K152" i="333"/>
  <c r="K149" i="333"/>
  <c r="K145" i="333"/>
  <c r="K144" i="333"/>
  <c r="K129" i="333"/>
  <c r="K122" i="333"/>
  <c r="K119" i="333"/>
  <c r="K102" i="333"/>
  <c r="K101" i="333"/>
  <c r="K100" i="333"/>
  <c r="K92" i="333"/>
  <c r="K89" i="333"/>
  <c r="K86" i="333"/>
  <c r="K81" i="333"/>
  <c r="K80" i="333"/>
  <c r="K77" i="333"/>
  <c r="K30" i="333"/>
  <c r="K22" i="333"/>
  <c r="K21" i="333"/>
  <c r="K20" i="333"/>
  <c r="K19" i="333"/>
  <c r="K12" i="333"/>
  <c r="K9" i="333"/>
  <c r="K105" i="325"/>
  <c r="K93" i="325"/>
  <c r="K90" i="325"/>
  <c r="K88" i="325"/>
  <c r="K86" i="325"/>
  <c r="K80" i="325"/>
  <c r="K77" i="325"/>
  <c r="K46" i="325"/>
  <c r="K41" i="325"/>
  <c r="K34" i="325"/>
  <c r="K18" i="325"/>
  <c r="K9" i="325"/>
  <c r="K155" i="326"/>
  <c r="K152" i="326"/>
  <c r="K46" i="326"/>
  <c r="K9" i="326"/>
  <c r="K9" i="242"/>
  <c r="K18" i="242"/>
  <c r="K40" i="242"/>
  <c r="K77" i="242"/>
  <c r="K84" i="242"/>
  <c r="K88" i="242"/>
  <c r="K108" i="242"/>
  <c r="K119" i="242"/>
  <c r="K144" i="242"/>
  <c r="K149" i="242"/>
  <c r="K152" i="242"/>
  <c r="K155" i="242"/>
  <c r="K161" i="242"/>
  <c r="K39" i="181"/>
  <c r="K34" i="181"/>
  <c r="K33" i="181"/>
  <c r="K32" i="181"/>
  <c r="K31" i="181"/>
  <c r="K30" i="181"/>
  <c r="K29" i="181"/>
  <c r="K28" i="181"/>
  <c r="K27" i="181"/>
  <c r="K26" i="181"/>
  <c r="K25" i="181"/>
  <c r="K20" i="181"/>
  <c r="K19" i="181"/>
  <c r="K18" i="181"/>
  <c r="K17" i="181"/>
  <c r="K16" i="181"/>
  <c r="K14" i="181"/>
  <c r="K13" i="181"/>
  <c r="K12" i="181"/>
  <c r="K10" i="181"/>
  <c r="K9" i="181"/>
  <c r="K8" i="181"/>
  <c r="K7" i="181"/>
  <c r="K6" i="181"/>
  <c r="K93" i="318"/>
  <c r="K92" i="318"/>
  <c r="K91" i="318"/>
  <c r="K90" i="318"/>
  <c r="K89" i="318"/>
  <c r="K88" i="318"/>
  <c r="K87" i="318"/>
  <c r="K77" i="318"/>
  <c r="K76" i="318"/>
  <c r="K75" i="318"/>
  <c r="K73" i="318"/>
  <c r="K71" i="318"/>
  <c r="K44" i="318"/>
  <c r="K42" i="318"/>
  <c r="K41" i="318"/>
  <c r="K40" i="318"/>
  <c r="K39" i="318"/>
  <c r="K38" i="318"/>
  <c r="K37" i="318"/>
  <c r="K36" i="318"/>
  <c r="K35" i="318"/>
  <c r="K34" i="318"/>
  <c r="K25" i="318"/>
  <c r="K24" i="318"/>
  <c r="K23" i="318"/>
  <c r="K22" i="318"/>
  <c r="K21" i="318"/>
  <c r="K20" i="318"/>
  <c r="K19" i="318"/>
  <c r="K18" i="318"/>
  <c r="K12" i="318"/>
  <c r="K11" i="318"/>
  <c r="K10" i="318"/>
  <c r="K9" i="318"/>
  <c r="K8" i="318"/>
  <c r="K7" i="318"/>
  <c r="K57" i="269"/>
  <c r="K55" i="269"/>
  <c r="K54" i="269"/>
  <c r="K52" i="269"/>
  <c r="K51" i="269"/>
  <c r="K50" i="269"/>
  <c r="K43" i="269"/>
  <c r="K39" i="269"/>
  <c r="K37" i="269"/>
  <c r="K28" i="269"/>
  <c r="K27" i="269"/>
  <c r="K26" i="269"/>
  <c r="K24" i="269"/>
  <c r="K23" i="269"/>
  <c r="K22" i="269"/>
  <c r="K21" i="269"/>
  <c r="K16" i="269"/>
  <c r="K12" i="269"/>
  <c r="K10" i="269"/>
  <c r="K9" i="269"/>
  <c r="K56" i="270" l="1"/>
  <c r="K54" i="270"/>
  <c r="K53" i="270"/>
  <c r="K51" i="270"/>
  <c r="K50" i="270"/>
  <c r="K49" i="270"/>
  <c r="K43" i="270"/>
  <c r="K39" i="270"/>
  <c r="K37" i="270"/>
  <c r="K28" i="270"/>
  <c r="K27" i="270"/>
  <c r="K26" i="270"/>
  <c r="K24" i="270"/>
  <c r="K23" i="270"/>
  <c r="K22" i="270"/>
  <c r="K21" i="270"/>
  <c r="K16" i="270"/>
  <c r="K12" i="270"/>
  <c r="K10" i="270"/>
  <c r="K9" i="270"/>
  <c r="K36" i="177"/>
  <c r="K27" i="177"/>
  <c r="K17" i="177"/>
  <c r="K16" i="177"/>
  <c r="K15" i="177"/>
  <c r="K12" i="177"/>
  <c r="K11" i="177"/>
  <c r="K10" i="177"/>
  <c r="K9" i="177"/>
  <c r="K8" i="177"/>
  <c r="K7" i="177"/>
  <c r="G47" i="178"/>
  <c r="G46" i="178"/>
  <c r="G39" i="178"/>
  <c r="G38" i="178"/>
  <c r="G34" i="178"/>
  <c r="G33" i="178"/>
  <c r="G32" i="178"/>
  <c r="G31" i="178"/>
  <c r="G24" i="178"/>
  <c r="G23" i="178"/>
  <c r="G22" i="178"/>
  <c r="G20" i="178"/>
  <c r="G18" i="178"/>
  <c r="G17" i="178"/>
  <c r="G12" i="178"/>
  <c r="G10" i="178"/>
  <c r="G9" i="178"/>
  <c r="G8" i="178"/>
  <c r="G7" i="178"/>
  <c r="K9" i="324"/>
  <c r="K14" i="324"/>
  <c r="K22" i="324"/>
  <c r="K21" i="324"/>
  <c r="K33" i="324"/>
  <c r="K32" i="324"/>
  <c r="K38" i="324"/>
  <c r="K37" i="324"/>
  <c r="K36" i="324"/>
  <c r="K161" i="324"/>
  <c r="K172" i="324"/>
  <c r="K175" i="324"/>
  <c r="K174" i="324"/>
  <c r="K194" i="324"/>
  <c r="K197" i="324"/>
  <c r="K206" i="324"/>
  <c r="K205" i="324"/>
  <c r="K207" i="324"/>
  <c r="K73" i="268"/>
  <c r="K67" i="268"/>
  <c r="K66" i="268"/>
  <c r="K62" i="268"/>
  <c r="K61" i="268"/>
  <c r="K60" i="268"/>
  <c r="K59" i="268"/>
  <c r="K58" i="268"/>
  <c r="K55" i="268"/>
  <c r="K54" i="268"/>
  <c r="K51" i="268"/>
  <c r="K48" i="268"/>
  <c r="K45" i="268"/>
  <c r="K44" i="268"/>
  <c r="K39" i="182" l="1"/>
  <c r="K34" i="182"/>
  <c r="K33" i="182"/>
  <c r="K32" i="182"/>
  <c r="K31" i="182"/>
  <c r="K30" i="182"/>
  <c r="K29" i="182"/>
  <c r="K28" i="182"/>
  <c r="K27" i="182"/>
  <c r="K26" i="182"/>
  <c r="K25" i="182"/>
  <c r="K20" i="182"/>
  <c r="K19" i="182"/>
  <c r="K18" i="182"/>
  <c r="K17" i="182"/>
  <c r="K16" i="182"/>
  <c r="K14" i="182"/>
  <c r="K13" i="182"/>
  <c r="K12" i="182"/>
  <c r="K10" i="182"/>
  <c r="K9" i="182"/>
  <c r="K8" i="182"/>
  <c r="K7" i="182"/>
  <c r="K6" i="182"/>
  <c r="K230" i="323"/>
  <c r="K223" i="323"/>
  <c r="K222" i="323"/>
  <c r="K221" i="323"/>
  <c r="K220" i="323"/>
  <c r="K219" i="323"/>
  <c r="K212" i="323"/>
  <c r="K211" i="323"/>
  <c r="K210" i="323"/>
  <c r="K209" i="323"/>
  <c r="K208" i="323"/>
  <c r="K198" i="323"/>
  <c r="K190" i="323"/>
  <c r="K189" i="323"/>
  <c r="K188" i="323"/>
  <c r="K187" i="323"/>
  <c r="K186" i="323"/>
  <c r="K178" i="323"/>
  <c r="K177" i="323"/>
  <c r="K176" i="323"/>
  <c r="K175" i="323"/>
  <c r="K65" i="323"/>
  <c r="K64" i="323"/>
  <c r="K63" i="323"/>
  <c r="K54" i="323"/>
  <c r="K53" i="323"/>
  <c r="K52" i="323"/>
  <c r="K51" i="323"/>
  <c r="K42" i="323"/>
  <c r="K41" i="323"/>
  <c r="K40" i="323"/>
  <c r="K32" i="323"/>
  <c r="K31" i="323"/>
  <c r="K30" i="323"/>
  <c r="K29" i="323"/>
  <c r="K21" i="323"/>
  <c r="K19" i="323"/>
  <c r="K8" i="323"/>
  <c r="K246" i="330"/>
  <c r="K245" i="330"/>
  <c r="K244" i="330"/>
  <c r="K243" i="330"/>
  <c r="K242" i="330"/>
  <c r="K238" i="330"/>
  <c r="K237" i="330"/>
  <c r="K234" i="330"/>
  <c r="K233" i="330"/>
  <c r="K232" i="330"/>
  <c r="K231" i="330"/>
  <c r="K224" i="330"/>
  <c r="K223" i="330"/>
  <c r="K219" i="330"/>
  <c r="K218" i="330"/>
  <c r="K213" i="330"/>
  <c r="K212" i="330"/>
  <c r="K211" i="330"/>
  <c r="K210" i="330"/>
  <c r="K205" i="330"/>
  <c r="K203" i="330"/>
  <c r="K200" i="330"/>
  <c r="K191" i="330"/>
  <c r="K187" i="330"/>
  <c r="K182" i="330"/>
  <c r="K178" i="330"/>
  <c r="K175" i="330"/>
  <c r="K174" i="330"/>
  <c r="K167" i="330"/>
  <c r="K166" i="330"/>
  <c r="K163" i="330"/>
  <c r="K153" i="330"/>
  <c r="K155" i="330"/>
  <c r="K152" i="330"/>
  <c r="K150" i="330"/>
  <c r="K147" i="330"/>
  <c r="K143" i="330"/>
  <c r="K144" i="330"/>
  <c r="K140" i="330"/>
  <c r="K141" i="330"/>
  <c r="K139" i="330"/>
  <c r="K138" i="330"/>
  <c r="K137" i="330"/>
  <c r="K135" i="330"/>
  <c r="K134" i="330"/>
  <c r="K133" i="330"/>
  <c r="K131" i="330"/>
  <c r="K130" i="330"/>
  <c r="K123" i="330"/>
  <c r="K121" i="330"/>
  <c r="K120" i="330"/>
  <c r="K115" i="330"/>
  <c r="K110" i="330"/>
  <c r="K102" i="330"/>
  <c r="K106" i="330"/>
  <c r="K101" i="330"/>
  <c r="K97" i="330"/>
  <c r="K88" i="330"/>
  <c r="K83" i="330"/>
  <c r="K65" i="330"/>
  <c r="K62" i="330"/>
  <c r="K60" i="330"/>
  <c r="K53" i="330"/>
  <c r="K44" i="330"/>
  <c r="K41" i="330"/>
  <c r="K33" i="330"/>
  <c r="K31" i="330"/>
  <c r="K16" i="330"/>
  <c r="K17" i="330"/>
  <c r="K15" i="330"/>
  <c r="K13" i="330"/>
  <c r="K9" i="330"/>
  <c r="H8" i="326" l="1"/>
  <c r="H151" i="242"/>
  <c r="I144" i="242"/>
  <c r="J144" i="242" s="1"/>
  <c r="I88" i="242"/>
  <c r="J88" i="242" s="1"/>
  <c r="I84" i="242"/>
  <c r="J84" i="242" s="1"/>
  <c r="H36" i="181"/>
  <c r="I89" i="318"/>
  <c r="J89" i="318" s="1"/>
  <c r="H99" i="318"/>
  <c r="I40" i="318"/>
  <c r="J40" i="318" s="1"/>
  <c r="I35" i="318"/>
  <c r="J35" i="318" s="1"/>
  <c r="H46" i="318"/>
  <c r="I28" i="318"/>
  <c r="J28" i="318" s="1"/>
  <c r="I27" i="318"/>
  <c r="J27" i="318" s="1"/>
  <c r="I21" i="318"/>
  <c r="J21" i="318" s="1"/>
  <c r="I11" i="318"/>
  <c r="J11" i="318" s="1"/>
  <c r="H45" i="269"/>
  <c r="I43" i="269"/>
  <c r="J43" i="269" s="1"/>
  <c r="I39" i="269"/>
  <c r="J39" i="269" s="1"/>
  <c r="I37" i="269"/>
  <c r="I26" i="269"/>
  <c r="J26" i="269" s="1"/>
  <c r="I24" i="269"/>
  <c r="J24" i="269" s="1"/>
  <c r="I23" i="269"/>
  <c r="J23" i="269" s="1"/>
  <c r="I55" i="270"/>
  <c r="J55" i="270" s="1"/>
  <c r="I52" i="270"/>
  <c r="J52" i="270" s="1"/>
  <c r="I51" i="270"/>
  <c r="J51" i="270" s="1"/>
  <c r="I50" i="270"/>
  <c r="J50" i="270" s="1"/>
  <c r="H36" i="270"/>
  <c r="I27" i="270"/>
  <c r="J27" i="270" s="1"/>
  <c r="I25" i="270"/>
  <c r="J25" i="270" s="1"/>
  <c r="H17" i="270"/>
  <c r="I19" i="270"/>
  <c r="I172" i="324"/>
  <c r="J172" i="324" s="1"/>
  <c r="I36" i="324"/>
  <c r="J36" i="324" s="1"/>
  <c r="I26" i="324"/>
  <c r="J26" i="324" s="1"/>
  <c r="I20" i="324"/>
  <c r="J20" i="324" s="1"/>
  <c r="I19" i="324"/>
  <c r="J19" i="324" s="1"/>
  <c r="I15" i="324"/>
  <c r="J15" i="324" s="1"/>
  <c r="I59" i="268"/>
  <c r="J59" i="268" s="1"/>
  <c r="I54" i="268"/>
  <c r="J54" i="268" s="1"/>
  <c r="G16" i="267"/>
  <c r="I198" i="323"/>
  <c r="J198" i="323" s="1"/>
  <c r="H185" i="323"/>
  <c r="H17" i="323"/>
  <c r="I241" i="330"/>
  <c r="J241" i="330" s="1"/>
  <c r="I215" i="330"/>
  <c r="J215" i="330" s="1"/>
  <c r="I203" i="330"/>
  <c r="J203" i="330" s="1"/>
  <c r="I165" i="330"/>
  <c r="J165" i="330" s="1"/>
  <c r="I159" i="330"/>
  <c r="J159" i="330" s="1"/>
  <c r="I153" i="330"/>
  <c r="J153" i="330" s="1"/>
  <c r="I140" i="330"/>
  <c r="J140" i="330" s="1"/>
  <c r="H132" i="330"/>
  <c r="I121" i="330"/>
  <c r="J121" i="330" s="1"/>
  <c r="I61" i="330"/>
  <c r="J61" i="330" s="1"/>
  <c r="I58" i="330"/>
  <c r="J58" i="330" s="1"/>
  <c r="I43" i="330"/>
  <c r="J43" i="330" s="1"/>
  <c r="I40" i="330"/>
  <c r="J40" i="330" s="1"/>
  <c r="I37" i="330"/>
  <c r="J37" i="330" s="1"/>
  <c r="I34" i="330"/>
  <c r="J34" i="330" s="1"/>
  <c r="I31" i="330"/>
  <c r="J31" i="330" s="1"/>
  <c r="I28" i="330"/>
  <c r="J28" i="330" s="1"/>
  <c r="I18" i="330"/>
  <c r="J18" i="330" s="1"/>
  <c r="H10" i="330"/>
  <c r="K99" i="318"/>
  <c r="K100" i="318"/>
  <c r="I91" i="318"/>
  <c r="J91" i="318" s="1"/>
  <c r="K83" i="318"/>
  <c r="K160" i="242"/>
  <c r="K151" i="242"/>
  <c r="K148" i="242"/>
  <c r="K103" i="242"/>
  <c r="K76" i="242"/>
  <c r="K75" i="242" s="1"/>
  <c r="K45" i="269"/>
  <c r="I44" i="269"/>
  <c r="J44" i="269" s="1"/>
  <c r="I42" i="269"/>
  <c r="J42" i="269" s="1"/>
  <c r="I41" i="269"/>
  <c r="J41" i="269" s="1"/>
  <c r="I40" i="269"/>
  <c r="J40" i="269" s="1"/>
  <c r="I38" i="269"/>
  <c r="J38" i="269" s="1"/>
  <c r="I25" i="269"/>
  <c r="J25" i="269" s="1"/>
  <c r="I20" i="269"/>
  <c r="J20" i="269" s="1"/>
  <c r="I19" i="269"/>
  <c r="J19" i="269" s="1"/>
  <c r="I18" i="269"/>
  <c r="J18" i="269" s="1"/>
  <c r="I28" i="269"/>
  <c r="J28" i="269" s="1"/>
  <c r="I27" i="269"/>
  <c r="J27" i="269" s="1"/>
  <c r="I22" i="269"/>
  <c r="J22" i="269" s="1"/>
  <c r="I21" i="269"/>
  <c r="J21" i="269" s="1"/>
  <c r="I11" i="269"/>
  <c r="J11" i="269" s="1"/>
  <c r="I13" i="269"/>
  <c r="J13" i="269" s="1"/>
  <c r="I14" i="269"/>
  <c r="J14" i="269" s="1"/>
  <c r="I15" i="269"/>
  <c r="J15" i="269" s="1"/>
  <c r="I16" i="269"/>
  <c r="J16" i="269" s="1"/>
  <c r="I12" i="269"/>
  <c r="J12" i="269" s="1"/>
  <c r="I10" i="269"/>
  <c r="J10" i="269" s="1"/>
  <c r="I48" i="270"/>
  <c r="J48" i="270" s="1"/>
  <c r="I47" i="270"/>
  <c r="J47" i="270" s="1"/>
  <c r="I38" i="270"/>
  <c r="J38" i="270" s="1"/>
  <c r="I40" i="270"/>
  <c r="J40" i="270" s="1"/>
  <c r="I41" i="270"/>
  <c r="J41" i="270" s="1"/>
  <c r="I42" i="270"/>
  <c r="J42" i="270" s="1"/>
  <c r="I44" i="270"/>
  <c r="J44" i="270" s="1"/>
  <c r="K45" i="270"/>
  <c r="I54" i="270"/>
  <c r="J54" i="270" s="1"/>
  <c r="I53" i="270"/>
  <c r="J53" i="270" s="1"/>
  <c r="I49" i="270"/>
  <c r="J49" i="270" s="1"/>
  <c r="I43" i="270"/>
  <c r="J43" i="270" s="1"/>
  <c r="I39" i="270"/>
  <c r="J39" i="270" s="1"/>
  <c r="A45" i="270"/>
  <c r="I20" i="270"/>
  <c r="J20" i="270" s="1"/>
  <c r="I18" i="270"/>
  <c r="J18" i="270" s="1"/>
  <c r="I11" i="270"/>
  <c r="J11" i="270" s="1"/>
  <c r="I13" i="270"/>
  <c r="J13" i="270" s="1"/>
  <c r="I14" i="270"/>
  <c r="J14" i="270" s="1"/>
  <c r="I15" i="270"/>
  <c r="J15" i="270" s="1"/>
  <c r="I24" i="270"/>
  <c r="J24" i="270" s="1"/>
  <c r="I23" i="270"/>
  <c r="J23" i="270" s="1"/>
  <c r="I22" i="270"/>
  <c r="J22" i="270" s="1"/>
  <c r="I21" i="270"/>
  <c r="J21" i="270" s="1"/>
  <c r="I12" i="270"/>
  <c r="J12" i="270" s="1"/>
  <c r="I10" i="270"/>
  <c r="J10" i="270" s="1"/>
  <c r="K36" i="182"/>
  <c r="H45" i="174" s="1"/>
  <c r="H7" i="174" s="1"/>
  <c r="J12" i="267"/>
  <c r="D76" i="330"/>
  <c r="D75" i="330"/>
  <c r="I46" i="270"/>
  <c r="J46" i="270" s="1"/>
  <c r="I28" i="270"/>
  <c r="J28" i="270" s="1"/>
  <c r="I26" i="270"/>
  <c r="J26" i="270" s="1"/>
  <c r="I9" i="270"/>
  <c r="J9" i="270" s="1"/>
  <c r="I196" i="324"/>
  <c r="J196" i="324" s="1"/>
  <c r="A41" i="324"/>
  <c r="I41" i="324"/>
  <c r="J41" i="324"/>
  <c r="A42" i="324"/>
  <c r="I42" i="324"/>
  <c r="J42" i="324"/>
  <c r="A43" i="324"/>
  <c r="I43" i="324"/>
  <c r="J43" i="324"/>
  <c r="A44" i="324"/>
  <c r="I44" i="324"/>
  <c r="J44" i="324"/>
  <c r="A45" i="324"/>
  <c r="I45" i="324"/>
  <c r="J45" i="324"/>
  <c r="A46" i="324"/>
  <c r="C46" i="324"/>
  <c r="C12" i="268"/>
  <c r="D46" i="324"/>
  <c r="D12" i="268"/>
  <c r="E46" i="324"/>
  <c r="F46" i="324"/>
  <c r="G46" i="324"/>
  <c r="H46" i="324"/>
  <c r="H12" i="268"/>
  <c r="K46" i="324"/>
  <c r="A47" i="324"/>
  <c r="I47" i="324"/>
  <c r="J47" i="324"/>
  <c r="A48" i="324"/>
  <c r="I48" i="324"/>
  <c r="J48" i="324"/>
  <c r="A49" i="324"/>
  <c r="I49" i="324"/>
  <c r="J49" i="324"/>
  <c r="A50" i="324"/>
  <c r="I50" i="324"/>
  <c r="J50" i="324"/>
  <c r="A51" i="324"/>
  <c r="I51" i="324"/>
  <c r="J51" i="324"/>
  <c r="A52" i="324"/>
  <c r="I52" i="324"/>
  <c r="J52" i="324"/>
  <c r="A53" i="324"/>
  <c r="I53" i="324"/>
  <c r="J53" i="324"/>
  <c r="A54" i="324"/>
  <c r="I54" i="324"/>
  <c r="J54" i="324"/>
  <c r="A55" i="324"/>
  <c r="I55" i="324"/>
  <c r="J55" i="324"/>
  <c r="A56" i="324"/>
  <c r="I56" i="324"/>
  <c r="J56" i="324"/>
  <c r="A57" i="324"/>
  <c r="C57" i="324"/>
  <c r="D57" i="324"/>
  <c r="D13" i="268"/>
  <c r="E57" i="324"/>
  <c r="E13" i="268"/>
  <c r="F57" i="324"/>
  <c r="G57" i="324"/>
  <c r="H57" i="324"/>
  <c r="H13" i="268"/>
  <c r="K57" i="324"/>
  <c r="K13" i="268"/>
  <c r="A58" i="324"/>
  <c r="I58" i="324"/>
  <c r="J58" i="324"/>
  <c r="A59" i="324"/>
  <c r="I59" i="324"/>
  <c r="J59" i="324"/>
  <c r="A60" i="324"/>
  <c r="I60" i="324"/>
  <c r="J60" i="324"/>
  <c r="A61" i="324"/>
  <c r="I61" i="324"/>
  <c r="J61" i="324"/>
  <c r="A62" i="324"/>
  <c r="I62" i="324"/>
  <c r="J62" i="324"/>
  <c r="A63" i="324"/>
  <c r="I63" i="324"/>
  <c r="J63" i="324"/>
  <c r="A64" i="324"/>
  <c r="I64" i="324"/>
  <c r="J64" i="324"/>
  <c r="A65" i="324"/>
  <c r="I65" i="324"/>
  <c r="J65" i="324"/>
  <c r="A66" i="324"/>
  <c r="I66" i="324"/>
  <c r="J66" i="324"/>
  <c r="A67" i="324"/>
  <c r="I67" i="324"/>
  <c r="J67" i="324"/>
  <c r="A68" i="324"/>
  <c r="C68" i="324"/>
  <c r="D68" i="324"/>
  <c r="D14" i="268"/>
  <c r="E68" i="324"/>
  <c r="E14" i="268"/>
  <c r="F68" i="324"/>
  <c r="F14" i="268"/>
  <c r="G68" i="324"/>
  <c r="H68" i="324"/>
  <c r="H14" i="268"/>
  <c r="K68" i="324"/>
  <c r="K14" i="268"/>
  <c r="A69" i="324"/>
  <c r="I69" i="324"/>
  <c r="J69" i="324"/>
  <c r="A70" i="324"/>
  <c r="I70" i="324"/>
  <c r="J70" i="324"/>
  <c r="A71" i="324"/>
  <c r="I71" i="324"/>
  <c r="J71" i="324"/>
  <c r="A72" i="324"/>
  <c r="I72" i="324"/>
  <c r="J72" i="324"/>
  <c r="A73" i="324"/>
  <c r="I73" i="324"/>
  <c r="J73" i="324"/>
  <c r="A74" i="324"/>
  <c r="I74" i="324"/>
  <c r="J74" i="324"/>
  <c r="A75" i="324"/>
  <c r="I75" i="324"/>
  <c r="J75" i="324"/>
  <c r="A76" i="324"/>
  <c r="I76" i="324"/>
  <c r="J76" i="324"/>
  <c r="A77" i="324"/>
  <c r="I77" i="324"/>
  <c r="J77" i="324"/>
  <c r="A78" i="324"/>
  <c r="I78" i="324"/>
  <c r="J78" i="324"/>
  <c r="A79" i="324"/>
  <c r="C79" i="324"/>
  <c r="D79" i="324"/>
  <c r="D15" i="268"/>
  <c r="E79" i="324"/>
  <c r="F79" i="324"/>
  <c r="G79" i="324"/>
  <c r="H79" i="324"/>
  <c r="K79" i="324"/>
  <c r="A80" i="324"/>
  <c r="I80" i="324"/>
  <c r="J80" i="324"/>
  <c r="A81" i="324"/>
  <c r="I81" i="324"/>
  <c r="J81" i="324"/>
  <c r="A82" i="324"/>
  <c r="I82" i="324"/>
  <c r="J82" i="324"/>
  <c r="A83" i="324"/>
  <c r="I83" i="324"/>
  <c r="J83" i="324"/>
  <c r="A84" i="324"/>
  <c r="I84" i="324"/>
  <c r="J84" i="324"/>
  <c r="A85" i="324"/>
  <c r="I85" i="324"/>
  <c r="J85" i="324"/>
  <c r="A86" i="324"/>
  <c r="I86" i="324"/>
  <c r="J86" i="324"/>
  <c r="A87" i="324"/>
  <c r="I87" i="324"/>
  <c r="J87" i="324"/>
  <c r="A88" i="324"/>
  <c r="I88" i="324"/>
  <c r="J88" i="324"/>
  <c r="A89" i="324"/>
  <c r="I89" i="324"/>
  <c r="J89" i="324"/>
  <c r="A90" i="324"/>
  <c r="C90" i="324"/>
  <c r="C16" i="268"/>
  <c r="D90" i="324"/>
  <c r="D16" i="268"/>
  <c r="E90" i="324"/>
  <c r="F90" i="324"/>
  <c r="G90" i="324"/>
  <c r="I90" i="324"/>
  <c r="J90" i="324"/>
  <c r="H90" i="324"/>
  <c r="H16" i="268"/>
  <c r="K90" i="324"/>
  <c r="A91" i="324"/>
  <c r="I91" i="324"/>
  <c r="J91" i="324"/>
  <c r="A92" i="324"/>
  <c r="I92" i="324"/>
  <c r="J92" i="324"/>
  <c r="A93" i="324"/>
  <c r="I93" i="324"/>
  <c r="J93" i="324"/>
  <c r="A94" i="324"/>
  <c r="I94" i="324"/>
  <c r="J94" i="324"/>
  <c r="A95" i="324"/>
  <c r="I95" i="324"/>
  <c r="J95" i="324"/>
  <c r="A96" i="324"/>
  <c r="I96" i="324"/>
  <c r="J96" i="324"/>
  <c r="A97" i="324"/>
  <c r="I97" i="324"/>
  <c r="J97" i="324"/>
  <c r="A98" i="324"/>
  <c r="I98" i="324"/>
  <c r="J98" i="324"/>
  <c r="A99" i="324"/>
  <c r="I99" i="324"/>
  <c r="J99" i="324"/>
  <c r="A100" i="324"/>
  <c r="I100" i="324"/>
  <c r="J100" i="324"/>
  <c r="A101" i="324"/>
  <c r="C101" i="324"/>
  <c r="D101" i="324"/>
  <c r="E101" i="324"/>
  <c r="F101" i="324"/>
  <c r="F17" i="268"/>
  <c r="G101" i="324"/>
  <c r="H101" i="324"/>
  <c r="H17" i="268"/>
  <c r="K101" i="324"/>
  <c r="K17" i="268"/>
  <c r="A102" i="324"/>
  <c r="I102" i="324"/>
  <c r="J102" i="324"/>
  <c r="A103" i="324"/>
  <c r="I103" i="324"/>
  <c r="J103" i="324"/>
  <c r="A104" i="324"/>
  <c r="I104" i="324"/>
  <c r="J104" i="324"/>
  <c r="A105" i="324"/>
  <c r="I105" i="324"/>
  <c r="J105" i="324"/>
  <c r="A106" i="324"/>
  <c r="I106" i="324"/>
  <c r="J106" i="324"/>
  <c r="A107" i="324"/>
  <c r="I107" i="324"/>
  <c r="J107" i="324"/>
  <c r="A108" i="324"/>
  <c r="I108" i="324"/>
  <c r="J108" i="324"/>
  <c r="A109" i="324"/>
  <c r="I109" i="324"/>
  <c r="J109" i="324"/>
  <c r="A110" i="324"/>
  <c r="I110" i="324"/>
  <c r="J110" i="324"/>
  <c r="A111" i="324"/>
  <c r="I111" i="324"/>
  <c r="J111" i="324"/>
  <c r="A112" i="324"/>
  <c r="C112" i="324"/>
  <c r="D112" i="324"/>
  <c r="D18" i="268"/>
  <c r="E112" i="324"/>
  <c r="E18" i="268"/>
  <c r="F112" i="324"/>
  <c r="G112" i="324"/>
  <c r="H112" i="324"/>
  <c r="H18" i="268"/>
  <c r="K112" i="324"/>
  <c r="K18" i="268"/>
  <c r="A113" i="324"/>
  <c r="I113" i="324"/>
  <c r="J113" i="324"/>
  <c r="A114" i="324"/>
  <c r="I114" i="324"/>
  <c r="J114" i="324"/>
  <c r="A115" i="324"/>
  <c r="I115" i="324"/>
  <c r="J115" i="324"/>
  <c r="A116" i="324"/>
  <c r="I116" i="324"/>
  <c r="J116" i="324"/>
  <c r="A117" i="324"/>
  <c r="I117" i="324"/>
  <c r="J117" i="324"/>
  <c r="A118" i="324"/>
  <c r="I118" i="324"/>
  <c r="J118" i="324"/>
  <c r="A119" i="324"/>
  <c r="I119" i="324"/>
  <c r="J119" i="324"/>
  <c r="A120" i="324"/>
  <c r="I120" i="324"/>
  <c r="J120" i="324"/>
  <c r="A121" i="324"/>
  <c r="I121" i="324"/>
  <c r="J121" i="324"/>
  <c r="A122" i="324"/>
  <c r="I122" i="324"/>
  <c r="J122" i="324"/>
  <c r="A123" i="324"/>
  <c r="C123" i="324"/>
  <c r="D123" i="324"/>
  <c r="D19" i="268"/>
  <c r="E123" i="324"/>
  <c r="F123" i="324"/>
  <c r="G123" i="324"/>
  <c r="H123" i="324"/>
  <c r="K123" i="324"/>
  <c r="A124" i="324"/>
  <c r="I124" i="324"/>
  <c r="J124" i="324"/>
  <c r="A125" i="324"/>
  <c r="I125" i="324"/>
  <c r="J125" i="324"/>
  <c r="A126" i="324"/>
  <c r="I126" i="324"/>
  <c r="J126" i="324"/>
  <c r="A127" i="324"/>
  <c r="I127" i="324"/>
  <c r="J127" i="324"/>
  <c r="A128" i="324"/>
  <c r="I128" i="324"/>
  <c r="J128" i="324"/>
  <c r="A129" i="324"/>
  <c r="I129" i="324"/>
  <c r="J129" i="324"/>
  <c r="A130" i="324"/>
  <c r="I130" i="324"/>
  <c r="J130" i="324"/>
  <c r="A131" i="324"/>
  <c r="I131" i="324"/>
  <c r="J131" i="324"/>
  <c r="A132" i="324"/>
  <c r="I132" i="324"/>
  <c r="J132" i="324"/>
  <c r="A133" i="324"/>
  <c r="I133" i="324"/>
  <c r="J133" i="324"/>
  <c r="A134" i="324"/>
  <c r="C134" i="324"/>
  <c r="C20" i="268"/>
  <c r="D134" i="324"/>
  <c r="D20" i="268"/>
  <c r="E134" i="324"/>
  <c r="F134" i="324"/>
  <c r="G134" i="324"/>
  <c r="I134" i="324"/>
  <c r="J134" i="324"/>
  <c r="H134" i="324"/>
  <c r="K134" i="324"/>
  <c r="A135" i="324"/>
  <c r="I135" i="324"/>
  <c r="J135" i="324"/>
  <c r="A136" i="324"/>
  <c r="I136" i="324"/>
  <c r="J136" i="324"/>
  <c r="A137" i="324"/>
  <c r="I137" i="324"/>
  <c r="J137" i="324"/>
  <c r="A138" i="324"/>
  <c r="I138" i="324"/>
  <c r="J138" i="324"/>
  <c r="A139" i="324"/>
  <c r="I139" i="324"/>
  <c r="J139" i="324"/>
  <c r="A140" i="324"/>
  <c r="I140" i="324"/>
  <c r="J140" i="324"/>
  <c r="A141" i="324"/>
  <c r="I141" i="324"/>
  <c r="J141" i="324"/>
  <c r="A142" i="324"/>
  <c r="I142" i="324"/>
  <c r="J142" i="324"/>
  <c r="A143" i="324"/>
  <c r="I143" i="324"/>
  <c r="J143" i="324"/>
  <c r="A144" i="324"/>
  <c r="I144" i="324"/>
  <c r="J144" i="324"/>
  <c r="L144" i="324"/>
  <c r="M144" i="324"/>
  <c r="N144" i="324"/>
  <c r="O144" i="324"/>
  <c r="P144" i="324"/>
  <c r="Q144" i="324"/>
  <c r="R144" i="324"/>
  <c r="S144" i="324"/>
  <c r="T144" i="324"/>
  <c r="U144" i="324"/>
  <c r="V144" i="324"/>
  <c r="W144" i="324"/>
  <c r="E12" i="268"/>
  <c r="E15" i="268"/>
  <c r="E16" i="268"/>
  <c r="E17" i="268"/>
  <c r="E19" i="268"/>
  <c r="E20" i="268"/>
  <c r="I14" i="181"/>
  <c r="J14" i="181" s="1"/>
  <c r="I33" i="181"/>
  <c r="J33" i="181" s="1"/>
  <c r="I25" i="181"/>
  <c r="J25" i="181" s="1"/>
  <c r="I16" i="181"/>
  <c r="J16" i="181" s="1"/>
  <c r="I12" i="181"/>
  <c r="J12" i="181" s="1"/>
  <c r="I10" i="181"/>
  <c r="J10" i="181" s="1"/>
  <c r="I145" i="242"/>
  <c r="J145" i="242"/>
  <c r="I96" i="242"/>
  <c r="J96" i="242" s="1"/>
  <c r="I92" i="242"/>
  <c r="J92" i="242" s="1"/>
  <c r="I85" i="242"/>
  <c r="J85" i="242" s="1"/>
  <c r="I81" i="242"/>
  <c r="J81" i="242" s="1"/>
  <c r="I78" i="242"/>
  <c r="J78" i="242" s="1"/>
  <c r="H8" i="242"/>
  <c r="I105" i="325"/>
  <c r="J105" i="325" s="1"/>
  <c r="I97" i="325"/>
  <c r="J97" i="325"/>
  <c r="I93" i="325"/>
  <c r="J93" i="325" s="1"/>
  <c r="I89" i="325"/>
  <c r="J89" i="325"/>
  <c r="I85" i="325"/>
  <c r="J85" i="325"/>
  <c r="I81" i="325"/>
  <c r="J81" i="325"/>
  <c r="H76" i="325"/>
  <c r="I76" i="325" s="1"/>
  <c r="J76" i="325" s="1"/>
  <c r="H8" i="325"/>
  <c r="I8" i="325" s="1"/>
  <c r="J8" i="325" s="1"/>
  <c r="H157" i="333"/>
  <c r="H154" i="333"/>
  <c r="H151" i="333"/>
  <c r="H148" i="333"/>
  <c r="I144" i="333"/>
  <c r="J144" i="333" s="1"/>
  <c r="I129" i="333"/>
  <c r="J129" i="333" s="1"/>
  <c r="I124" i="333"/>
  <c r="J124" i="333" s="1"/>
  <c r="I123" i="333"/>
  <c r="J123" i="333" s="1"/>
  <c r="I102" i="333"/>
  <c r="J102" i="333" s="1"/>
  <c r="I97" i="333"/>
  <c r="J97" i="333" s="1"/>
  <c r="I95" i="333"/>
  <c r="J95" i="333" s="1"/>
  <c r="I94" i="333"/>
  <c r="J94" i="333" s="1"/>
  <c r="I93" i="333"/>
  <c r="J93" i="333" s="1"/>
  <c r="I91" i="333"/>
  <c r="J91" i="333" s="1"/>
  <c r="I89" i="333"/>
  <c r="J89" i="333" s="1"/>
  <c r="I87" i="333"/>
  <c r="J87" i="333" s="1"/>
  <c r="I85" i="333"/>
  <c r="J85" i="333" s="1"/>
  <c r="I83" i="333"/>
  <c r="J83" i="333" s="1"/>
  <c r="I81" i="333"/>
  <c r="J81" i="333" s="1"/>
  <c r="I79" i="333"/>
  <c r="J79" i="333" s="1"/>
  <c r="I77" i="333"/>
  <c r="J77" i="333" s="1"/>
  <c r="I29" i="333"/>
  <c r="J29" i="333" s="1"/>
  <c r="H27" i="333"/>
  <c r="H17" i="333"/>
  <c r="I23" i="333"/>
  <c r="J23" i="333" s="1"/>
  <c r="I20" i="333"/>
  <c r="J20" i="333" s="1"/>
  <c r="I12" i="333"/>
  <c r="J12" i="333" s="1"/>
  <c r="I11" i="333"/>
  <c r="J11" i="333" s="1"/>
  <c r="H157" i="335"/>
  <c r="I149" i="335"/>
  <c r="J149" i="335" s="1"/>
  <c r="H114" i="335"/>
  <c r="I106" i="335"/>
  <c r="J106" i="335" s="1"/>
  <c r="I101" i="335"/>
  <c r="J101" i="335"/>
  <c r="H99" i="335"/>
  <c r="I97" i="335"/>
  <c r="J97" i="335" s="1"/>
  <c r="I93" i="335"/>
  <c r="J93" i="335" s="1"/>
  <c r="I89" i="335"/>
  <c r="J89" i="335" s="1"/>
  <c r="I85" i="335"/>
  <c r="J85" i="335" s="1"/>
  <c r="I81" i="335"/>
  <c r="J81" i="335" s="1"/>
  <c r="I77" i="335"/>
  <c r="J77" i="335" s="1"/>
  <c r="H69" i="335"/>
  <c r="I69" i="335"/>
  <c r="J69" i="335"/>
  <c r="H63" i="335"/>
  <c r="I63" i="335"/>
  <c r="J63" i="335"/>
  <c r="I59" i="335"/>
  <c r="J59" i="335"/>
  <c r="H53" i="335"/>
  <c r="I53" i="335"/>
  <c r="J53" i="335"/>
  <c r="I51" i="335"/>
  <c r="J51" i="335" s="1"/>
  <c r="I47" i="335"/>
  <c r="J47" i="335" s="1"/>
  <c r="I46" i="335"/>
  <c r="J46" i="335" s="1"/>
  <c r="H38" i="335"/>
  <c r="I34" i="335"/>
  <c r="J34" i="335" s="1"/>
  <c r="I30" i="335"/>
  <c r="J30" i="335" s="1"/>
  <c r="I25" i="335"/>
  <c r="J25" i="335"/>
  <c r="H17" i="335"/>
  <c r="I14" i="335"/>
  <c r="J14" i="335"/>
  <c r="I39" i="324"/>
  <c r="J39" i="324" s="1"/>
  <c r="I38" i="324"/>
  <c r="J38" i="324" s="1"/>
  <c r="I34" i="324"/>
  <c r="J34" i="324" s="1"/>
  <c r="I33" i="324"/>
  <c r="J33" i="324" s="1"/>
  <c r="I32" i="324"/>
  <c r="J32" i="324" s="1"/>
  <c r="I30" i="324"/>
  <c r="J30" i="324" s="1"/>
  <c r="I28" i="324"/>
  <c r="J28" i="324" s="1"/>
  <c r="I25" i="324"/>
  <c r="J25" i="324" s="1"/>
  <c r="I24" i="324"/>
  <c r="J24" i="324" s="1"/>
  <c r="I22" i="324"/>
  <c r="J22" i="324" s="1"/>
  <c r="I21" i="324"/>
  <c r="J21" i="324" s="1"/>
  <c r="I16" i="324"/>
  <c r="J16" i="324" s="1"/>
  <c r="I13" i="324"/>
  <c r="J13" i="324" s="1"/>
  <c r="I11" i="324"/>
  <c r="J11" i="324" s="1"/>
  <c r="I10" i="324"/>
  <c r="J10" i="324" s="1"/>
  <c r="I9" i="324"/>
  <c r="J9" i="324" s="1"/>
  <c r="I66" i="268"/>
  <c r="J66" i="268" s="1"/>
  <c r="H47" i="268"/>
  <c r="H43" i="268"/>
  <c r="I245" i="330"/>
  <c r="J245" i="330" s="1"/>
  <c r="I237" i="330"/>
  <c r="J237" i="330" s="1"/>
  <c r="I236" i="330"/>
  <c r="J236" i="330" s="1"/>
  <c r="I232" i="330"/>
  <c r="J232" i="330" s="1"/>
  <c r="H230" i="330"/>
  <c r="H46" i="241" s="1"/>
  <c r="H222" i="330"/>
  <c r="H44" i="241" s="1"/>
  <c r="I218" i="330"/>
  <c r="J218" i="330" s="1"/>
  <c r="I212" i="330"/>
  <c r="J212" i="330" s="1"/>
  <c r="I204" i="330"/>
  <c r="J204" i="330" s="1"/>
  <c r="I183" i="330"/>
  <c r="J183" i="330" s="1"/>
  <c r="I180" i="330"/>
  <c r="J180" i="330" s="1"/>
  <c r="H177" i="330"/>
  <c r="H36" i="241" s="1"/>
  <c r="I175" i="330"/>
  <c r="J175" i="330" s="1"/>
  <c r="I174" i="330"/>
  <c r="J174" i="330" s="1"/>
  <c r="I167" i="330"/>
  <c r="J167" i="330" s="1"/>
  <c r="I164" i="330"/>
  <c r="J164" i="330" s="1"/>
  <c r="I160" i="330"/>
  <c r="J160" i="330" s="1"/>
  <c r="I156" i="330"/>
  <c r="J156" i="330" s="1"/>
  <c r="I152" i="330"/>
  <c r="J152" i="330" s="1"/>
  <c r="I144" i="330"/>
  <c r="J144" i="330" s="1"/>
  <c r="I136" i="330"/>
  <c r="J136" i="330" s="1"/>
  <c r="H108" i="330"/>
  <c r="H23" i="241" s="1"/>
  <c r="H104" i="330"/>
  <c r="H22" i="241" s="1"/>
  <c r="H87" i="330"/>
  <c r="H55" i="330"/>
  <c r="H13" i="241" s="1"/>
  <c r="I57" i="330"/>
  <c r="J57" i="330" s="1"/>
  <c r="I53" i="330"/>
  <c r="J53" i="330" s="1"/>
  <c r="I47" i="330"/>
  <c r="J47" i="330" s="1"/>
  <c r="I45" i="330"/>
  <c r="J45" i="330" s="1"/>
  <c r="I41" i="330"/>
  <c r="J41" i="330" s="1"/>
  <c r="I22" i="330"/>
  <c r="J22" i="330" s="1"/>
  <c r="I20" i="330"/>
  <c r="J20" i="330" s="1"/>
  <c r="I16" i="330"/>
  <c r="J16" i="330" s="1"/>
  <c r="I14" i="330"/>
  <c r="J14" i="330" s="1"/>
  <c r="G17" i="267"/>
  <c r="I27" i="182"/>
  <c r="J27" i="182" s="1"/>
  <c r="H22" i="182"/>
  <c r="H53" i="182" s="1"/>
  <c r="O33" i="317"/>
  <c r="I33" i="317"/>
  <c r="I54" i="317"/>
  <c r="H33" i="317"/>
  <c r="C33" i="317"/>
  <c r="A25" i="317"/>
  <c r="A24" i="317"/>
  <c r="A69" i="268"/>
  <c r="A22" i="267"/>
  <c r="A25" i="238"/>
  <c r="N22" i="238"/>
  <c r="K22" i="238"/>
  <c r="K24" i="238" s="1"/>
  <c r="N12" i="238"/>
  <c r="M12" i="238"/>
  <c r="K12" i="238"/>
  <c r="O21" i="238"/>
  <c r="O19" i="238"/>
  <c r="O17" i="238"/>
  <c r="O16" i="238"/>
  <c r="O15" i="238"/>
  <c r="O11" i="238"/>
  <c r="O10" i="238"/>
  <c r="O9" i="238"/>
  <c r="O8" i="238"/>
  <c r="O7" i="238"/>
  <c r="O6" i="238"/>
  <c r="O5" i="238"/>
  <c r="J7" i="267"/>
  <c r="G7" i="267"/>
  <c r="F7" i="267"/>
  <c r="E7" i="267"/>
  <c r="D7" i="267"/>
  <c r="C7" i="267"/>
  <c r="B7" i="267"/>
  <c r="K22" i="181"/>
  <c r="G22" i="181"/>
  <c r="F22" i="181"/>
  <c r="E22" i="181"/>
  <c r="D22" i="181"/>
  <c r="C22" i="181"/>
  <c r="Q21" i="317"/>
  <c r="Q33" i="317"/>
  <c r="P21" i="317"/>
  <c r="P33" i="317"/>
  <c r="M33" i="317"/>
  <c r="L33" i="317"/>
  <c r="K33" i="317"/>
  <c r="K54" i="317"/>
  <c r="J33" i="317"/>
  <c r="G33" i="317"/>
  <c r="F33" i="317"/>
  <c r="E33" i="317"/>
  <c r="E54" i="317"/>
  <c r="D33" i="317"/>
  <c r="G25" i="178"/>
  <c r="F25" i="178"/>
  <c r="E25" i="178"/>
  <c r="E26" i="178" s="1"/>
  <c r="D25" i="178"/>
  <c r="D26" i="178"/>
  <c r="E39" i="174"/>
  <c r="C25" i="178"/>
  <c r="K22" i="182"/>
  <c r="K53" i="182" s="1"/>
  <c r="G22" i="182"/>
  <c r="G55" i="174" s="1"/>
  <c r="F22" i="182"/>
  <c r="F53" i="182" s="1"/>
  <c r="E22" i="182"/>
  <c r="D22" i="182"/>
  <c r="D53" i="182"/>
  <c r="C22" i="182"/>
  <c r="I184" i="330"/>
  <c r="J184" i="330" s="1"/>
  <c r="A184" i="330"/>
  <c r="A183" i="330"/>
  <c r="I62" i="330"/>
  <c r="J62" i="330" s="1"/>
  <c r="K53" i="333"/>
  <c r="H53" i="333"/>
  <c r="G53" i="333"/>
  <c r="F53" i="333"/>
  <c r="E53" i="333"/>
  <c r="D53" i="333"/>
  <c r="K53" i="335"/>
  <c r="G53" i="335"/>
  <c r="F53" i="335"/>
  <c r="E53" i="335"/>
  <c r="D53" i="335"/>
  <c r="K8" i="335"/>
  <c r="H8" i="335"/>
  <c r="G8" i="335"/>
  <c r="F8" i="335"/>
  <c r="E8" i="335"/>
  <c r="D8" i="335"/>
  <c r="K8" i="333"/>
  <c r="G8" i="333"/>
  <c r="F8" i="333"/>
  <c r="E8" i="333"/>
  <c r="D8" i="333"/>
  <c r="K53" i="325"/>
  <c r="H53" i="325"/>
  <c r="G53" i="325"/>
  <c r="F53" i="325"/>
  <c r="E53" i="325"/>
  <c r="D53" i="325"/>
  <c r="K8" i="325"/>
  <c r="G8" i="325"/>
  <c r="F8" i="325"/>
  <c r="E8" i="325"/>
  <c r="D8" i="325"/>
  <c r="K53" i="326"/>
  <c r="H53" i="326"/>
  <c r="G53" i="326"/>
  <c r="I53" i="326"/>
  <c r="J53" i="326"/>
  <c r="F53" i="326"/>
  <c r="E53" i="326"/>
  <c r="D53" i="326"/>
  <c r="K8" i="326"/>
  <c r="G8" i="326"/>
  <c r="F8" i="326"/>
  <c r="E8" i="326"/>
  <c r="D8" i="326"/>
  <c r="K53" i="242"/>
  <c r="H53" i="242"/>
  <c r="G53" i="242"/>
  <c r="F53" i="242"/>
  <c r="E53" i="242"/>
  <c r="D53" i="242"/>
  <c r="K8" i="242"/>
  <c r="G8" i="242"/>
  <c r="F8" i="242"/>
  <c r="E8" i="242"/>
  <c r="D8" i="242"/>
  <c r="A180" i="330"/>
  <c r="E100" i="100"/>
  <c r="F100" i="100"/>
  <c r="A168" i="335"/>
  <c r="J165" i="335"/>
  <c r="I164" i="335"/>
  <c r="J164" i="335"/>
  <c r="K163" i="335"/>
  <c r="H163" i="335"/>
  <c r="I163" i="335"/>
  <c r="J163" i="335"/>
  <c r="G163" i="335"/>
  <c r="F163" i="335"/>
  <c r="E163" i="335"/>
  <c r="D163" i="335"/>
  <c r="C163" i="335"/>
  <c r="I161" i="335"/>
  <c r="J161" i="335"/>
  <c r="K160" i="335"/>
  <c r="H160" i="335"/>
  <c r="G160" i="335"/>
  <c r="I160" i="335"/>
  <c r="J160" i="335"/>
  <c r="F160" i="335"/>
  <c r="E160" i="335"/>
  <c r="D160" i="335"/>
  <c r="C160" i="335"/>
  <c r="I158" i="335"/>
  <c r="J158" i="335" s="1"/>
  <c r="K157" i="335"/>
  <c r="G157" i="335"/>
  <c r="F157" i="335"/>
  <c r="E157" i="335"/>
  <c r="D157" i="335"/>
  <c r="C157" i="335"/>
  <c r="I155" i="335"/>
  <c r="J155" i="335"/>
  <c r="K154" i="335"/>
  <c r="H154" i="335"/>
  <c r="G154" i="335"/>
  <c r="I154" i="335"/>
  <c r="J154" i="335"/>
  <c r="F154" i="335"/>
  <c r="E154" i="335"/>
  <c r="D154" i="335"/>
  <c r="C154" i="335"/>
  <c r="J153" i="335"/>
  <c r="I152" i="335"/>
  <c r="J152" i="335" s="1"/>
  <c r="K151" i="335"/>
  <c r="H151" i="335"/>
  <c r="I151" i="335" s="1"/>
  <c r="J151" i="335" s="1"/>
  <c r="G151" i="335"/>
  <c r="F151" i="335"/>
  <c r="E151" i="335"/>
  <c r="D151" i="335"/>
  <c r="C151" i="335"/>
  <c r="K148" i="335"/>
  <c r="H148" i="335"/>
  <c r="G148" i="335"/>
  <c r="F148" i="335"/>
  <c r="E148" i="335"/>
  <c r="D148" i="335"/>
  <c r="C148" i="335"/>
  <c r="I146" i="335"/>
  <c r="J146" i="335" s="1"/>
  <c r="I145" i="335"/>
  <c r="J145" i="335" s="1"/>
  <c r="I144" i="335"/>
  <c r="J144" i="335" s="1"/>
  <c r="I143" i="335"/>
  <c r="J143" i="335" s="1"/>
  <c r="I142" i="335"/>
  <c r="J142" i="335" s="1"/>
  <c r="I141" i="335"/>
  <c r="J141" i="335" s="1"/>
  <c r="K140" i="335"/>
  <c r="H140" i="335"/>
  <c r="H138" i="335"/>
  <c r="G140" i="335"/>
  <c r="F140" i="335"/>
  <c r="F138" i="335" s="1"/>
  <c r="E140" i="335"/>
  <c r="E138" i="335"/>
  <c r="D140" i="335"/>
  <c r="D138" i="335"/>
  <c r="C140" i="335"/>
  <c r="C138" i="335"/>
  <c r="I139" i="335"/>
  <c r="J139" i="335"/>
  <c r="K138" i="335"/>
  <c r="J137" i="335"/>
  <c r="I136" i="335"/>
  <c r="J136" i="335"/>
  <c r="K135" i="335"/>
  <c r="H135" i="335"/>
  <c r="G135" i="335"/>
  <c r="F135" i="335"/>
  <c r="E135" i="335"/>
  <c r="D135" i="335"/>
  <c r="C135" i="335"/>
  <c r="J134" i="335"/>
  <c r="I133" i="335"/>
  <c r="J133" i="335"/>
  <c r="I132" i="335"/>
  <c r="J132" i="335"/>
  <c r="I131" i="335"/>
  <c r="J131" i="335"/>
  <c r="K130" i="335"/>
  <c r="H130" i="335"/>
  <c r="G130" i="335"/>
  <c r="F130" i="335"/>
  <c r="E130" i="335"/>
  <c r="D130" i="335"/>
  <c r="C130" i="335"/>
  <c r="I129" i="335"/>
  <c r="J129" i="335"/>
  <c r="I128" i="335"/>
  <c r="J128" i="335"/>
  <c r="I127" i="335"/>
  <c r="J127" i="335"/>
  <c r="I126" i="335"/>
  <c r="J126" i="335"/>
  <c r="I125" i="335"/>
  <c r="J125" i="335"/>
  <c r="I124" i="335"/>
  <c r="J124" i="335"/>
  <c r="I123" i="335"/>
  <c r="J123" i="335"/>
  <c r="I122" i="335"/>
  <c r="J122" i="335"/>
  <c r="I121" i="335"/>
  <c r="J121" i="335"/>
  <c r="I120" i="335"/>
  <c r="J120" i="335"/>
  <c r="I119" i="335"/>
  <c r="J119" i="335"/>
  <c r="K118" i="335"/>
  <c r="K117" i="335"/>
  <c r="H118" i="335"/>
  <c r="H117" i="335"/>
  <c r="G118" i="335"/>
  <c r="F118" i="335"/>
  <c r="F117" i="335"/>
  <c r="E118" i="335"/>
  <c r="E117" i="335"/>
  <c r="D118" i="335"/>
  <c r="D117" i="335"/>
  <c r="C118" i="335"/>
  <c r="C117" i="335"/>
  <c r="I116" i="335"/>
  <c r="J116" i="335"/>
  <c r="K114" i="335"/>
  <c r="G114" i="335"/>
  <c r="F114" i="335"/>
  <c r="F110" i="335"/>
  <c r="E114" i="335"/>
  <c r="D114" i="335"/>
  <c r="C114" i="335"/>
  <c r="I113" i="335"/>
  <c r="J113" i="335"/>
  <c r="I112" i="335"/>
  <c r="J112" i="335"/>
  <c r="K111" i="335"/>
  <c r="K110" i="335"/>
  <c r="H111" i="335"/>
  <c r="G111" i="335"/>
  <c r="I111" i="335"/>
  <c r="J111" i="335"/>
  <c r="F111" i="335"/>
  <c r="E111" i="335"/>
  <c r="D111" i="335"/>
  <c r="D110" i="335"/>
  <c r="C111" i="335"/>
  <c r="C110" i="335"/>
  <c r="I109" i="335"/>
  <c r="J109" i="335"/>
  <c r="I108" i="335"/>
  <c r="J108" i="335" s="1"/>
  <c r="I107" i="335"/>
  <c r="J107" i="335" s="1"/>
  <c r="I105" i="335"/>
  <c r="J105" i="335" s="1"/>
  <c r="I104" i="335"/>
  <c r="J104" i="335" s="1"/>
  <c r="K103" i="335"/>
  <c r="G103" i="335"/>
  <c r="F103" i="335"/>
  <c r="E103" i="335"/>
  <c r="D103" i="335"/>
  <c r="C103" i="335"/>
  <c r="I102" i="335"/>
  <c r="J102" i="335" s="1"/>
  <c r="I100" i="335"/>
  <c r="J100" i="335"/>
  <c r="K99" i="335"/>
  <c r="G99" i="335"/>
  <c r="I99" i="335" s="1"/>
  <c r="J99" i="335" s="1"/>
  <c r="F99" i="335"/>
  <c r="F75" i="335" s="1"/>
  <c r="E99" i="335"/>
  <c r="D99" i="335"/>
  <c r="C99" i="335"/>
  <c r="I98" i="335"/>
  <c r="J98" i="335" s="1"/>
  <c r="I96" i="335"/>
  <c r="J96" i="335" s="1"/>
  <c r="I95" i="335"/>
  <c r="J95" i="335" s="1"/>
  <c r="I94" i="335"/>
  <c r="J94" i="335" s="1"/>
  <c r="I92" i="335"/>
  <c r="J92" i="335" s="1"/>
  <c r="I91" i="335"/>
  <c r="J91" i="335" s="1"/>
  <c r="I90" i="335"/>
  <c r="J90" i="335" s="1"/>
  <c r="I88" i="335"/>
  <c r="J88" i="335" s="1"/>
  <c r="I87" i="335"/>
  <c r="J87" i="335" s="1"/>
  <c r="I86" i="335"/>
  <c r="J86" i="335" s="1"/>
  <c r="I84" i="335"/>
  <c r="J84" i="335" s="1"/>
  <c r="I83" i="335"/>
  <c r="J83" i="335" s="1"/>
  <c r="I82" i="335"/>
  <c r="J82" i="335" s="1"/>
  <c r="I80" i="335"/>
  <c r="J80" i="335" s="1"/>
  <c r="I79" i="335"/>
  <c r="J79" i="335" s="1"/>
  <c r="I78" i="335"/>
  <c r="J78" i="335" s="1"/>
  <c r="K76" i="335"/>
  <c r="K75" i="335" s="1"/>
  <c r="G76" i="335"/>
  <c r="F76" i="335"/>
  <c r="E76" i="335"/>
  <c r="E75" i="335" s="1"/>
  <c r="D76" i="335"/>
  <c r="D75" i="335"/>
  <c r="C76" i="335"/>
  <c r="C75" i="335"/>
  <c r="J74" i="335"/>
  <c r="I73" i="335"/>
  <c r="J73" i="335"/>
  <c r="I72" i="335"/>
  <c r="J72" i="335"/>
  <c r="I71" i="335"/>
  <c r="J71" i="335"/>
  <c r="I70" i="335"/>
  <c r="J70" i="335"/>
  <c r="K69" i="335"/>
  <c r="G69" i="335"/>
  <c r="F69" i="335"/>
  <c r="E69" i="335"/>
  <c r="D69" i="335"/>
  <c r="C69" i="335"/>
  <c r="I68" i="335"/>
  <c r="J68" i="335"/>
  <c r="I67" i="335"/>
  <c r="J67" i="335"/>
  <c r="I66" i="335"/>
  <c r="J66" i="335"/>
  <c r="I65" i="335"/>
  <c r="J65" i="335"/>
  <c r="I64" i="335"/>
  <c r="J64" i="335"/>
  <c r="K63" i="335"/>
  <c r="G63" i="335"/>
  <c r="F63" i="335"/>
  <c r="E63" i="335"/>
  <c r="D63" i="335"/>
  <c r="C63" i="335"/>
  <c r="I62" i="335"/>
  <c r="J62" i="335"/>
  <c r="I61" i="335"/>
  <c r="J61" i="335"/>
  <c r="I60" i="335"/>
  <c r="J60" i="335"/>
  <c r="I58" i="335"/>
  <c r="J58" i="335"/>
  <c r="I57" i="335"/>
  <c r="J57" i="335"/>
  <c r="I56" i="335"/>
  <c r="J56" i="335"/>
  <c r="I54" i="335"/>
  <c r="J54" i="335"/>
  <c r="C53" i="335"/>
  <c r="I52" i="335"/>
  <c r="J52" i="335" s="1"/>
  <c r="I50" i="335"/>
  <c r="J50" i="335" s="1"/>
  <c r="I49" i="335"/>
  <c r="J49" i="335" s="1"/>
  <c r="I48" i="335"/>
  <c r="J48" i="335" s="1"/>
  <c r="K45" i="335"/>
  <c r="G45" i="335"/>
  <c r="F45" i="335"/>
  <c r="E45" i="335"/>
  <c r="D45" i="335"/>
  <c r="C45" i="335"/>
  <c r="I44" i="335"/>
  <c r="J44" i="335" s="1"/>
  <c r="I43" i="335"/>
  <c r="J43" i="335" s="1"/>
  <c r="I42" i="335"/>
  <c r="J42" i="335" s="1"/>
  <c r="I40" i="335"/>
  <c r="J40" i="335" s="1"/>
  <c r="I39" i="335"/>
  <c r="J39" i="335" s="1"/>
  <c r="K38" i="335"/>
  <c r="G38" i="335"/>
  <c r="I38" i="335" s="1"/>
  <c r="J38" i="335" s="1"/>
  <c r="F38" i="335"/>
  <c r="E38" i="335"/>
  <c r="D38" i="335"/>
  <c r="C38" i="335"/>
  <c r="I37" i="335"/>
  <c r="J37" i="335" s="1"/>
  <c r="I36" i="335"/>
  <c r="J36" i="335" s="1"/>
  <c r="I35" i="335"/>
  <c r="J35" i="335" s="1"/>
  <c r="I33" i="335"/>
  <c r="J33" i="335" s="1"/>
  <c r="I32" i="335"/>
  <c r="J32" i="335" s="1"/>
  <c r="I31" i="335"/>
  <c r="J31" i="335" s="1"/>
  <c r="I29" i="335"/>
  <c r="J29" i="335" s="1"/>
  <c r="I28" i="335"/>
  <c r="J28" i="335" s="1"/>
  <c r="K27" i="335"/>
  <c r="G27" i="335"/>
  <c r="F27" i="335"/>
  <c r="E27" i="335"/>
  <c r="D27" i="335"/>
  <c r="C27" i="335"/>
  <c r="I26" i="335"/>
  <c r="J26" i="335"/>
  <c r="I24" i="335"/>
  <c r="J24" i="335"/>
  <c r="I23" i="335"/>
  <c r="J23" i="335"/>
  <c r="I22" i="335"/>
  <c r="J22" i="335"/>
  <c r="I20" i="335"/>
  <c r="J20" i="335"/>
  <c r="I19" i="335"/>
  <c r="J19" i="335"/>
  <c r="I18" i="335"/>
  <c r="J18" i="335" s="1"/>
  <c r="K17" i="335"/>
  <c r="G17" i="335"/>
  <c r="F17" i="335"/>
  <c r="E17" i="335"/>
  <c r="D17" i="335"/>
  <c r="C17" i="335"/>
  <c r="I16" i="335"/>
  <c r="J16" i="335"/>
  <c r="I15" i="335"/>
  <c r="J15" i="335"/>
  <c r="K13" i="335"/>
  <c r="H13" i="335"/>
  <c r="I13" i="335"/>
  <c r="J13" i="335"/>
  <c r="G13" i="335"/>
  <c r="F13" i="335"/>
  <c r="E13" i="335"/>
  <c r="D13" i="335"/>
  <c r="C13" i="335"/>
  <c r="I12" i="335"/>
  <c r="J12" i="335"/>
  <c r="I11" i="335"/>
  <c r="J11" i="335" s="1"/>
  <c r="I10" i="335"/>
  <c r="J10" i="335" s="1"/>
  <c r="I9" i="335"/>
  <c r="J9" i="335" s="1"/>
  <c r="C8" i="335"/>
  <c r="K3" i="335"/>
  <c r="J3" i="335"/>
  <c r="I3" i="335"/>
  <c r="H3" i="335"/>
  <c r="G3" i="335"/>
  <c r="F3" i="335"/>
  <c r="E3" i="335"/>
  <c r="D3" i="335"/>
  <c r="C3" i="335"/>
  <c r="B2" i="335"/>
  <c r="A2" i="335"/>
  <c r="J165" i="333"/>
  <c r="I164" i="333"/>
  <c r="J164" i="333"/>
  <c r="K163" i="333"/>
  <c r="H163" i="333"/>
  <c r="G163" i="333"/>
  <c r="F163" i="333"/>
  <c r="E163" i="333"/>
  <c r="D163" i="333"/>
  <c r="C163" i="333"/>
  <c r="I161" i="333"/>
  <c r="J161" i="333" s="1"/>
  <c r="K160" i="333"/>
  <c r="H160" i="333"/>
  <c r="G160" i="333"/>
  <c r="I160" i="333" s="1"/>
  <c r="J160" i="333" s="1"/>
  <c r="F160" i="333"/>
  <c r="E160" i="333"/>
  <c r="D160" i="333"/>
  <c r="C160" i="333"/>
  <c r="I158" i="333"/>
  <c r="J158" i="333" s="1"/>
  <c r="K157" i="333"/>
  <c r="G157" i="333"/>
  <c r="F157" i="333"/>
  <c r="E157" i="333"/>
  <c r="D157" i="333"/>
  <c r="C157" i="333"/>
  <c r="I155" i="333"/>
  <c r="J155" i="333" s="1"/>
  <c r="K154" i="333"/>
  <c r="G154" i="333"/>
  <c r="I154" i="333" s="1"/>
  <c r="J154" i="333" s="1"/>
  <c r="F154" i="333"/>
  <c r="E154" i="333"/>
  <c r="D154" i="333"/>
  <c r="C154" i="333"/>
  <c r="J153" i="333"/>
  <c r="I152" i="333"/>
  <c r="J152" i="333" s="1"/>
  <c r="K151" i="333"/>
  <c r="G151" i="333"/>
  <c r="I151" i="333" s="1"/>
  <c r="J151" i="333" s="1"/>
  <c r="F151" i="333"/>
  <c r="E151" i="333"/>
  <c r="D151" i="333"/>
  <c r="C151" i="333"/>
  <c r="K148" i="333"/>
  <c r="G148" i="333"/>
  <c r="F148" i="333"/>
  <c r="E148" i="333"/>
  <c r="D148" i="333"/>
  <c r="C148" i="333"/>
  <c r="I146" i="333"/>
  <c r="J146" i="333" s="1"/>
  <c r="I145" i="333"/>
  <c r="J145" i="333" s="1"/>
  <c r="I143" i="333"/>
  <c r="J143" i="333" s="1"/>
  <c r="I142" i="333"/>
  <c r="J142" i="333" s="1"/>
  <c r="I141" i="333"/>
  <c r="J141" i="333" s="1"/>
  <c r="K140" i="333"/>
  <c r="K138" i="333" s="1"/>
  <c r="G140" i="333"/>
  <c r="F140" i="333"/>
  <c r="F138" i="333" s="1"/>
  <c r="E140" i="333"/>
  <c r="E138" i="333" s="1"/>
  <c r="D140" i="333"/>
  <c r="D138" i="333"/>
  <c r="C140" i="333"/>
  <c r="C138" i="333"/>
  <c r="I139" i="333"/>
  <c r="J139" i="333"/>
  <c r="J137" i="333"/>
  <c r="I136" i="333"/>
  <c r="J136" i="333"/>
  <c r="K135" i="333"/>
  <c r="H135" i="333"/>
  <c r="I135" i="333"/>
  <c r="J135" i="333"/>
  <c r="G135" i="333"/>
  <c r="F135" i="333"/>
  <c r="E135" i="333"/>
  <c r="D135" i="333"/>
  <c r="C135" i="333"/>
  <c r="J134" i="333"/>
  <c r="I133" i="333"/>
  <c r="J133" i="333" s="1"/>
  <c r="I132" i="333"/>
  <c r="J132" i="333" s="1"/>
  <c r="I131" i="333"/>
  <c r="J131" i="333" s="1"/>
  <c r="K130" i="333"/>
  <c r="H130" i="333"/>
  <c r="G130" i="333"/>
  <c r="I130" i="333" s="1"/>
  <c r="J130" i="333" s="1"/>
  <c r="F130" i="333"/>
  <c r="E130" i="333"/>
  <c r="D130" i="333"/>
  <c r="C130" i="333"/>
  <c r="I128" i="333"/>
  <c r="J128" i="333" s="1"/>
  <c r="I127" i="333"/>
  <c r="J127" i="333" s="1"/>
  <c r="I126" i="333"/>
  <c r="J126" i="333" s="1"/>
  <c r="I125" i="333"/>
  <c r="J125" i="333" s="1"/>
  <c r="I122" i="333"/>
  <c r="J122" i="333" s="1"/>
  <c r="I121" i="333"/>
  <c r="J121" i="333" s="1"/>
  <c r="I120" i="333"/>
  <c r="J120" i="333" s="1"/>
  <c r="I119" i="333"/>
  <c r="J119" i="333" s="1"/>
  <c r="K118" i="333"/>
  <c r="K117" i="333" s="1"/>
  <c r="G118" i="333"/>
  <c r="F118" i="333"/>
  <c r="E118" i="333"/>
  <c r="D118" i="333"/>
  <c r="D117" i="333"/>
  <c r="C118" i="333"/>
  <c r="I116" i="333"/>
  <c r="J116" i="333"/>
  <c r="I115" i="333"/>
  <c r="J115" i="333"/>
  <c r="K114" i="333"/>
  <c r="H114" i="333"/>
  <c r="G114" i="333"/>
  <c r="F114" i="333"/>
  <c r="E114" i="333"/>
  <c r="D114" i="333"/>
  <c r="C114" i="333"/>
  <c r="I113" i="333"/>
  <c r="J113" i="333"/>
  <c r="I112" i="333"/>
  <c r="J112" i="333"/>
  <c r="K111" i="333"/>
  <c r="K110" i="333"/>
  <c r="H111" i="333"/>
  <c r="G111" i="333"/>
  <c r="F111" i="333"/>
  <c r="E111" i="333"/>
  <c r="E110" i="333"/>
  <c r="D111" i="333"/>
  <c r="C111" i="333"/>
  <c r="I109" i="333"/>
  <c r="J109" i="333"/>
  <c r="I108" i="333"/>
  <c r="J108" i="333"/>
  <c r="I107" i="333"/>
  <c r="J107" i="333"/>
  <c r="I106" i="333"/>
  <c r="J106" i="333"/>
  <c r="I105" i="333"/>
  <c r="J105" i="333"/>
  <c r="I104" i="333"/>
  <c r="J104" i="333"/>
  <c r="K103" i="333"/>
  <c r="H103" i="333"/>
  <c r="G103" i="333"/>
  <c r="I103" i="333"/>
  <c r="J103" i="333"/>
  <c r="F103" i="333"/>
  <c r="E103" i="333"/>
  <c r="D103" i="333"/>
  <c r="C103" i="333"/>
  <c r="I101" i="333"/>
  <c r="J101" i="333" s="1"/>
  <c r="K99" i="333"/>
  <c r="G99" i="333"/>
  <c r="F99" i="333"/>
  <c r="E99" i="333"/>
  <c r="D99" i="333"/>
  <c r="C99" i="333"/>
  <c r="I98" i="333"/>
  <c r="J98" i="333" s="1"/>
  <c r="I96" i="333"/>
  <c r="J96" i="333" s="1"/>
  <c r="I92" i="333"/>
  <c r="J92" i="333" s="1"/>
  <c r="I90" i="333"/>
  <c r="J90" i="333" s="1"/>
  <c r="I88" i="333"/>
  <c r="J88" i="333" s="1"/>
  <c r="I86" i="333"/>
  <c r="J86" i="333" s="1"/>
  <c r="I84" i="333"/>
  <c r="J84" i="333" s="1"/>
  <c r="I82" i="333"/>
  <c r="J82" i="333" s="1"/>
  <c r="I80" i="333"/>
  <c r="J80" i="333" s="1"/>
  <c r="I78" i="333"/>
  <c r="J78" i="333" s="1"/>
  <c r="K76" i="333"/>
  <c r="G76" i="333"/>
  <c r="F76" i="333"/>
  <c r="E76" i="333"/>
  <c r="D76" i="333"/>
  <c r="C76" i="333"/>
  <c r="J74" i="333"/>
  <c r="I73" i="333"/>
  <c r="J73" i="333"/>
  <c r="I72" i="333"/>
  <c r="J72" i="333"/>
  <c r="I71" i="333"/>
  <c r="J71" i="333"/>
  <c r="I70" i="333"/>
  <c r="J70" i="333"/>
  <c r="K69" i="333"/>
  <c r="H69" i="333"/>
  <c r="G69" i="333"/>
  <c r="F69" i="333"/>
  <c r="E69" i="333"/>
  <c r="D69" i="333"/>
  <c r="C69" i="333"/>
  <c r="I68" i="333"/>
  <c r="J68" i="333"/>
  <c r="I67" i="333"/>
  <c r="J67" i="333"/>
  <c r="I66" i="333"/>
  <c r="J66" i="333"/>
  <c r="I65" i="333"/>
  <c r="J65" i="333"/>
  <c r="I64" i="333"/>
  <c r="J64" i="333"/>
  <c r="K63" i="333"/>
  <c r="H63" i="333"/>
  <c r="G63" i="333"/>
  <c r="F63" i="333"/>
  <c r="E63" i="333"/>
  <c r="D63" i="333"/>
  <c r="C63" i="333"/>
  <c r="I62" i="333"/>
  <c r="J62" i="333" s="1"/>
  <c r="I61" i="333"/>
  <c r="J61" i="333" s="1"/>
  <c r="I60" i="333"/>
  <c r="J60" i="333" s="1"/>
  <c r="I59" i="333"/>
  <c r="J59" i="333" s="1"/>
  <c r="I58" i="333"/>
  <c r="J58" i="333" s="1"/>
  <c r="I57" i="333"/>
  <c r="J57" i="333" s="1"/>
  <c r="I56" i="333"/>
  <c r="J56" i="333" s="1"/>
  <c r="I55" i="333"/>
  <c r="J55" i="333" s="1"/>
  <c r="I54" i="333"/>
  <c r="J54" i="333" s="1"/>
  <c r="C53" i="333"/>
  <c r="I52" i="333"/>
  <c r="J52" i="333" s="1"/>
  <c r="I51" i="333"/>
  <c r="J51" i="333" s="1"/>
  <c r="I50" i="333"/>
  <c r="J50" i="333" s="1"/>
  <c r="I49" i="333"/>
  <c r="J49" i="333" s="1"/>
  <c r="I48" i="333"/>
  <c r="J48" i="333" s="1"/>
  <c r="I47" i="333"/>
  <c r="J47" i="333" s="1"/>
  <c r="I46" i="333"/>
  <c r="J46" i="333" s="1"/>
  <c r="K45" i="333"/>
  <c r="H45" i="333"/>
  <c r="G45" i="333"/>
  <c r="I45" i="333" s="1"/>
  <c r="J45" i="333" s="1"/>
  <c r="F45" i="333"/>
  <c r="E45" i="333"/>
  <c r="D45" i="333"/>
  <c r="C45" i="333"/>
  <c r="I44" i="333"/>
  <c r="J44" i="333" s="1"/>
  <c r="I43" i="333"/>
  <c r="J43" i="333" s="1"/>
  <c r="I42" i="333"/>
  <c r="J42" i="333" s="1"/>
  <c r="I41" i="333"/>
  <c r="J41" i="333" s="1"/>
  <c r="I40" i="333"/>
  <c r="J40" i="333" s="1"/>
  <c r="I39" i="333"/>
  <c r="J39" i="333" s="1"/>
  <c r="K38" i="333"/>
  <c r="H38" i="333"/>
  <c r="G38" i="333"/>
  <c r="F38" i="333"/>
  <c r="E38" i="333"/>
  <c r="D38" i="333"/>
  <c r="C38" i="333"/>
  <c r="I37" i="333"/>
  <c r="J37" i="333" s="1"/>
  <c r="I36" i="333"/>
  <c r="J36" i="333" s="1"/>
  <c r="I35" i="333"/>
  <c r="J35" i="333" s="1"/>
  <c r="I34" i="333"/>
  <c r="J34" i="333" s="1"/>
  <c r="I33" i="333"/>
  <c r="J33" i="333" s="1"/>
  <c r="I32" i="333"/>
  <c r="J32" i="333" s="1"/>
  <c r="I31" i="333"/>
  <c r="J31" i="333" s="1"/>
  <c r="I30" i="333"/>
  <c r="J30" i="333" s="1"/>
  <c r="K27" i="333"/>
  <c r="G27" i="333"/>
  <c r="F27" i="333"/>
  <c r="E27" i="333"/>
  <c r="D27" i="333"/>
  <c r="C27" i="333"/>
  <c r="I26" i="333"/>
  <c r="J26" i="333" s="1"/>
  <c r="I25" i="333"/>
  <c r="J25" i="333" s="1"/>
  <c r="I24" i="333"/>
  <c r="J24" i="333" s="1"/>
  <c r="I22" i="333"/>
  <c r="J22" i="333" s="1"/>
  <c r="I21" i="333"/>
  <c r="J21" i="333" s="1"/>
  <c r="I18" i="333"/>
  <c r="J18" i="333" s="1"/>
  <c r="K17" i="333"/>
  <c r="G17" i="333"/>
  <c r="F17" i="333"/>
  <c r="E17" i="333"/>
  <c r="D17" i="333"/>
  <c r="C17" i="333"/>
  <c r="I16" i="333"/>
  <c r="J16" i="333"/>
  <c r="I15" i="333"/>
  <c r="J15" i="333"/>
  <c r="I14" i="333"/>
  <c r="J14" i="333"/>
  <c r="K13" i="333"/>
  <c r="H13" i="333"/>
  <c r="G13" i="333"/>
  <c r="I13" i="333"/>
  <c r="J13" i="333"/>
  <c r="F13" i="333"/>
  <c r="E13" i="333"/>
  <c r="D13" i="333"/>
  <c r="C13" i="333"/>
  <c r="I10" i="333"/>
  <c r="J10" i="333" s="1"/>
  <c r="I9" i="333"/>
  <c r="J9" i="333" s="1"/>
  <c r="C8" i="333"/>
  <c r="J165" i="325"/>
  <c r="I164" i="325"/>
  <c r="J164" i="325"/>
  <c r="K163" i="325"/>
  <c r="H163" i="325"/>
  <c r="G163" i="325"/>
  <c r="F163" i="325"/>
  <c r="E163" i="325"/>
  <c r="D163" i="325"/>
  <c r="C163" i="325"/>
  <c r="I161" i="325"/>
  <c r="J161" i="325"/>
  <c r="K160" i="325"/>
  <c r="H160" i="325"/>
  <c r="G160" i="325"/>
  <c r="F160" i="325"/>
  <c r="E160" i="325"/>
  <c r="D160" i="325"/>
  <c r="C160" i="325"/>
  <c r="I158" i="325"/>
  <c r="J158" i="325"/>
  <c r="K157" i="325"/>
  <c r="H157" i="325"/>
  <c r="G157" i="325"/>
  <c r="F157" i="325"/>
  <c r="E157" i="325"/>
  <c r="D157" i="325"/>
  <c r="C157" i="325"/>
  <c r="I155" i="325"/>
  <c r="J155" i="325" s="1"/>
  <c r="K154" i="325"/>
  <c r="H154" i="325"/>
  <c r="G154" i="325"/>
  <c r="I154" i="325" s="1"/>
  <c r="J154" i="325" s="1"/>
  <c r="F154" i="325"/>
  <c r="E154" i="325"/>
  <c r="D154" i="325"/>
  <c r="C154" i="325"/>
  <c r="J153" i="325"/>
  <c r="I152" i="325"/>
  <c r="J152" i="325"/>
  <c r="K151" i="325"/>
  <c r="H151" i="325"/>
  <c r="I151" i="325"/>
  <c r="G151" i="325"/>
  <c r="F151" i="325"/>
  <c r="E151" i="325"/>
  <c r="D151" i="325"/>
  <c r="C151" i="325"/>
  <c r="I149" i="325"/>
  <c r="J149" i="325"/>
  <c r="K148" i="325"/>
  <c r="H148" i="325"/>
  <c r="G148" i="325"/>
  <c r="F148" i="325"/>
  <c r="E148" i="325"/>
  <c r="D148" i="325"/>
  <c r="C148" i="325"/>
  <c r="I146" i="325"/>
  <c r="J146" i="325"/>
  <c r="I145" i="325"/>
  <c r="J145" i="325"/>
  <c r="I144" i="325"/>
  <c r="J144" i="325"/>
  <c r="I143" i="325"/>
  <c r="J143" i="325"/>
  <c r="I142" i="325"/>
  <c r="J142" i="325"/>
  <c r="I141" i="325"/>
  <c r="J141" i="325"/>
  <c r="K140" i="325"/>
  <c r="K138" i="325"/>
  <c r="H140" i="325"/>
  <c r="G140" i="325"/>
  <c r="G138" i="325"/>
  <c r="F140" i="325"/>
  <c r="F138" i="325"/>
  <c r="E140" i="325"/>
  <c r="E138" i="325"/>
  <c r="D140" i="325"/>
  <c r="D138" i="325"/>
  <c r="C140" i="325"/>
  <c r="C138" i="325"/>
  <c r="I139" i="325"/>
  <c r="J139" i="325"/>
  <c r="H138" i="325"/>
  <c r="J137" i="325"/>
  <c r="I136" i="325"/>
  <c r="J136" i="325"/>
  <c r="K135" i="325"/>
  <c r="H135" i="325"/>
  <c r="G135" i="325"/>
  <c r="F135" i="325"/>
  <c r="E135" i="325"/>
  <c r="D135" i="325"/>
  <c r="C135" i="325"/>
  <c r="J134" i="325"/>
  <c r="I133" i="325"/>
  <c r="J133" i="325"/>
  <c r="I132" i="325"/>
  <c r="J132" i="325"/>
  <c r="I131" i="325"/>
  <c r="J131" i="325"/>
  <c r="K130" i="325"/>
  <c r="H130" i="325"/>
  <c r="I130" i="325"/>
  <c r="J130" i="325"/>
  <c r="G130" i="325"/>
  <c r="F130" i="325"/>
  <c r="E130" i="325"/>
  <c r="D130" i="325"/>
  <c r="C130" i="325"/>
  <c r="I129" i="325"/>
  <c r="J129" i="325" s="1"/>
  <c r="I128" i="325"/>
  <c r="J128" i="325" s="1"/>
  <c r="I127" i="325"/>
  <c r="J127" i="325"/>
  <c r="I126" i="325"/>
  <c r="J126" i="325" s="1"/>
  <c r="I125" i="325"/>
  <c r="J125" i="325" s="1"/>
  <c r="I124" i="325"/>
  <c r="J124" i="325" s="1"/>
  <c r="I123" i="325"/>
  <c r="J123" i="325" s="1"/>
  <c r="I122" i="325"/>
  <c r="J122" i="325" s="1"/>
  <c r="I121" i="325"/>
  <c r="J121" i="325"/>
  <c r="I120" i="325"/>
  <c r="J120" i="325" s="1"/>
  <c r="I119" i="325"/>
  <c r="J119" i="325" s="1"/>
  <c r="K118" i="325"/>
  <c r="K117" i="325"/>
  <c r="H118" i="325"/>
  <c r="G118" i="325"/>
  <c r="F118" i="325"/>
  <c r="F117" i="325" s="1"/>
  <c r="E118" i="325"/>
  <c r="E117" i="325"/>
  <c r="D118" i="325"/>
  <c r="C118" i="325"/>
  <c r="I116" i="325"/>
  <c r="J116" i="325"/>
  <c r="I115" i="325"/>
  <c r="J115" i="325"/>
  <c r="K114" i="325"/>
  <c r="H114" i="325"/>
  <c r="G114" i="325"/>
  <c r="F114" i="325"/>
  <c r="E114" i="325"/>
  <c r="D114" i="325"/>
  <c r="C114" i="325"/>
  <c r="I113" i="325"/>
  <c r="J113" i="325"/>
  <c r="I112" i="325"/>
  <c r="J112" i="325"/>
  <c r="K111" i="325"/>
  <c r="H111" i="325"/>
  <c r="G111" i="325"/>
  <c r="F111" i="325"/>
  <c r="E111" i="325"/>
  <c r="D111" i="325"/>
  <c r="D110" i="325"/>
  <c r="C111" i="325"/>
  <c r="I109" i="325"/>
  <c r="J109" i="325"/>
  <c r="I108" i="325"/>
  <c r="J108" i="325"/>
  <c r="I107" i="325"/>
  <c r="J107" i="325"/>
  <c r="I106" i="325"/>
  <c r="J106" i="325"/>
  <c r="I104" i="325"/>
  <c r="J104" i="325"/>
  <c r="K103" i="325"/>
  <c r="G103" i="325"/>
  <c r="F103" i="325"/>
  <c r="E103" i="325"/>
  <c r="D103" i="325"/>
  <c r="C103" i="325"/>
  <c r="I102" i="325"/>
  <c r="J102" i="325"/>
  <c r="I101" i="325"/>
  <c r="J101" i="325"/>
  <c r="I100" i="325"/>
  <c r="J100" i="325"/>
  <c r="K99" i="325"/>
  <c r="H99" i="325"/>
  <c r="G99" i="325"/>
  <c r="F99" i="325"/>
  <c r="E99" i="325"/>
  <c r="D99" i="325"/>
  <c r="C99" i="325"/>
  <c r="I98" i="325"/>
  <c r="J98" i="325"/>
  <c r="I96" i="325"/>
  <c r="J96" i="325"/>
  <c r="I95" i="325"/>
  <c r="J95" i="325"/>
  <c r="I94" i="325"/>
  <c r="J94" i="325"/>
  <c r="I92" i="325"/>
  <c r="J92" i="325"/>
  <c r="I91" i="325"/>
  <c r="J91" i="325"/>
  <c r="I90" i="325"/>
  <c r="J90" i="325" s="1"/>
  <c r="I88" i="325"/>
  <c r="J88" i="325" s="1"/>
  <c r="I87" i="325"/>
  <c r="J87" i="325"/>
  <c r="I86" i="325"/>
  <c r="J86" i="325" s="1"/>
  <c r="I84" i="325"/>
  <c r="J84" i="325"/>
  <c r="I83" i="325"/>
  <c r="J83" i="325"/>
  <c r="I82" i="325"/>
  <c r="J82" i="325"/>
  <c r="I80" i="325"/>
  <c r="J80" i="325" s="1"/>
  <c r="I79" i="325"/>
  <c r="J79" i="325"/>
  <c r="I78" i="325"/>
  <c r="J78" i="325"/>
  <c r="I77" i="325"/>
  <c r="J77" i="325" s="1"/>
  <c r="K76" i="325"/>
  <c r="K75" i="325" s="1"/>
  <c r="G76" i="325"/>
  <c r="F76" i="325"/>
  <c r="E76" i="325"/>
  <c r="D76" i="325"/>
  <c r="D75" i="325"/>
  <c r="C76" i="325"/>
  <c r="J74" i="325"/>
  <c r="I73" i="325"/>
  <c r="J73" i="325"/>
  <c r="I72" i="325"/>
  <c r="J72" i="325"/>
  <c r="I71" i="325"/>
  <c r="J71" i="325"/>
  <c r="I70" i="325"/>
  <c r="J70" i="325"/>
  <c r="K69" i="325"/>
  <c r="H69" i="325"/>
  <c r="G69" i="325"/>
  <c r="F69" i="325"/>
  <c r="E69" i="325"/>
  <c r="D69" i="325"/>
  <c r="C69" i="325"/>
  <c r="I68" i="325"/>
  <c r="J68" i="325"/>
  <c r="I67" i="325"/>
  <c r="J67" i="325"/>
  <c r="I66" i="325"/>
  <c r="J66" i="325"/>
  <c r="I65" i="325"/>
  <c r="J65" i="325"/>
  <c r="I64" i="325"/>
  <c r="J64" i="325"/>
  <c r="K63" i="325"/>
  <c r="H63" i="325"/>
  <c r="G63" i="325"/>
  <c r="F63" i="325"/>
  <c r="E63" i="325"/>
  <c r="D63" i="325"/>
  <c r="C63" i="325"/>
  <c r="I62" i="325"/>
  <c r="J62" i="325"/>
  <c r="I61" i="325"/>
  <c r="J61" i="325"/>
  <c r="I60" i="325"/>
  <c r="J60" i="325"/>
  <c r="I59" i="325"/>
  <c r="J59" i="325"/>
  <c r="I58" i="325"/>
  <c r="J58" i="325"/>
  <c r="I57" i="325"/>
  <c r="J57" i="325"/>
  <c r="I56" i="325"/>
  <c r="J56" i="325"/>
  <c r="I55" i="325"/>
  <c r="J55" i="325"/>
  <c r="I54" i="325"/>
  <c r="J54" i="325"/>
  <c r="C53" i="325"/>
  <c r="I52" i="325"/>
  <c r="J52" i="325"/>
  <c r="I51" i="325"/>
  <c r="J51" i="325"/>
  <c r="I50" i="325"/>
  <c r="J50" i="325"/>
  <c r="I49" i="325"/>
  <c r="J49" i="325"/>
  <c r="I48" i="325"/>
  <c r="J48" i="325"/>
  <c r="I47" i="325"/>
  <c r="J47" i="325"/>
  <c r="I46" i="325"/>
  <c r="J46" i="325" s="1"/>
  <c r="K45" i="325"/>
  <c r="H45" i="325"/>
  <c r="I45" i="325" s="1"/>
  <c r="J45" i="325" s="1"/>
  <c r="G45" i="325"/>
  <c r="F45" i="325"/>
  <c r="E45" i="325"/>
  <c r="D45" i="325"/>
  <c r="C45" i="325"/>
  <c r="I44" i="325"/>
  <c r="J44" i="325"/>
  <c r="I43" i="325"/>
  <c r="J43" i="325"/>
  <c r="I42" i="325"/>
  <c r="J42" i="325"/>
  <c r="I41" i="325"/>
  <c r="J41" i="325" s="1"/>
  <c r="I40" i="325"/>
  <c r="J40" i="325"/>
  <c r="I39" i="325"/>
  <c r="J39" i="325"/>
  <c r="K38" i="325"/>
  <c r="H38" i="325"/>
  <c r="I38" i="325" s="1"/>
  <c r="J38" i="325" s="1"/>
  <c r="G38" i="325"/>
  <c r="F38" i="325"/>
  <c r="E38" i="325"/>
  <c r="D38" i="325"/>
  <c r="C38" i="325"/>
  <c r="I37" i="325"/>
  <c r="J37" i="325"/>
  <c r="I36" i="325"/>
  <c r="J36" i="325"/>
  <c r="I35" i="325"/>
  <c r="J35" i="325"/>
  <c r="I34" i="325"/>
  <c r="J34" i="325" s="1"/>
  <c r="I33" i="325"/>
  <c r="J33" i="325"/>
  <c r="I32" i="325"/>
  <c r="J32" i="325"/>
  <c r="I31" i="325"/>
  <c r="J31" i="325" s="1"/>
  <c r="I30" i="325"/>
  <c r="J30" i="325"/>
  <c r="I29" i="325"/>
  <c r="J29" i="325"/>
  <c r="I28" i="325"/>
  <c r="J28" i="325"/>
  <c r="K27" i="325"/>
  <c r="H27" i="325"/>
  <c r="G27" i="325"/>
  <c r="F27" i="325"/>
  <c r="E27" i="325"/>
  <c r="D27" i="325"/>
  <c r="C27" i="325"/>
  <c r="I26" i="325"/>
  <c r="J26" i="325" s="1"/>
  <c r="I25" i="325"/>
  <c r="J25" i="325" s="1"/>
  <c r="I24" i="325"/>
  <c r="J24" i="325" s="1"/>
  <c r="I23" i="325"/>
  <c r="J23" i="325" s="1"/>
  <c r="I22" i="325"/>
  <c r="J22" i="325" s="1"/>
  <c r="I21" i="325"/>
  <c r="J21" i="325" s="1"/>
  <c r="I20" i="325"/>
  <c r="J20" i="325" s="1"/>
  <c r="I19" i="325"/>
  <c r="J19" i="325" s="1"/>
  <c r="I18" i="325"/>
  <c r="J18" i="325" s="1"/>
  <c r="K17" i="325"/>
  <c r="H17" i="325"/>
  <c r="G17" i="325"/>
  <c r="F17" i="325"/>
  <c r="F7" i="325" s="1"/>
  <c r="E17" i="325"/>
  <c r="D17" i="325"/>
  <c r="C17" i="325"/>
  <c r="I16" i="325"/>
  <c r="J16" i="325"/>
  <c r="I15" i="325"/>
  <c r="J15" i="325"/>
  <c r="I14" i="325"/>
  <c r="J14" i="325"/>
  <c r="K13" i="325"/>
  <c r="H13" i="325"/>
  <c r="G13" i="325"/>
  <c r="F13" i="325"/>
  <c r="E13" i="325"/>
  <c r="D13" i="325"/>
  <c r="C13" i="325"/>
  <c r="I12" i="325"/>
  <c r="J12" i="325"/>
  <c r="I11" i="325"/>
  <c r="J11" i="325"/>
  <c r="I10" i="325"/>
  <c r="J10" i="325"/>
  <c r="I9" i="325"/>
  <c r="J9" i="325" s="1"/>
  <c r="C8" i="325"/>
  <c r="J165" i="326"/>
  <c r="I164" i="326"/>
  <c r="J164" i="326"/>
  <c r="K163" i="326"/>
  <c r="H163" i="326"/>
  <c r="I163" i="326"/>
  <c r="G163" i="326"/>
  <c r="F163" i="326"/>
  <c r="E163" i="326"/>
  <c r="D163" i="326"/>
  <c r="C163" i="326"/>
  <c r="I161" i="326"/>
  <c r="J161" i="326"/>
  <c r="K160" i="326"/>
  <c r="H160" i="326"/>
  <c r="G160" i="326"/>
  <c r="F160" i="326"/>
  <c r="E160" i="326"/>
  <c r="D160" i="326"/>
  <c r="C160" i="326"/>
  <c r="I158" i="326"/>
  <c r="J158" i="326"/>
  <c r="K157" i="326"/>
  <c r="H157" i="326"/>
  <c r="G157" i="326"/>
  <c r="F157" i="326"/>
  <c r="E157" i="326"/>
  <c r="D157" i="326"/>
  <c r="C157" i="326"/>
  <c r="I155" i="326"/>
  <c r="J155" i="326" s="1"/>
  <c r="K154" i="326"/>
  <c r="H154" i="326"/>
  <c r="G154" i="326"/>
  <c r="F154" i="326"/>
  <c r="E154" i="326"/>
  <c r="D154" i="326"/>
  <c r="C154" i="326"/>
  <c r="J153" i="326"/>
  <c r="I152" i="326"/>
  <c r="J152" i="326" s="1"/>
  <c r="K151" i="326"/>
  <c r="H151" i="326"/>
  <c r="G151" i="326"/>
  <c r="F151" i="326"/>
  <c r="E151" i="326"/>
  <c r="D151" i="326"/>
  <c r="C151" i="326"/>
  <c r="I149" i="326"/>
  <c r="J149" i="326"/>
  <c r="K148" i="326"/>
  <c r="H148" i="326"/>
  <c r="G148" i="326"/>
  <c r="F148" i="326"/>
  <c r="E148" i="326"/>
  <c r="D148" i="326"/>
  <c r="C148" i="326"/>
  <c r="I146" i="326"/>
  <c r="J146" i="326"/>
  <c r="I145" i="326"/>
  <c r="J145" i="326"/>
  <c r="I144" i="326"/>
  <c r="J144" i="326"/>
  <c r="I143" i="326"/>
  <c r="J143" i="326"/>
  <c r="I142" i="326"/>
  <c r="J142" i="326"/>
  <c r="I141" i="326"/>
  <c r="J141" i="326"/>
  <c r="K140" i="326"/>
  <c r="K138" i="326"/>
  <c r="H140" i="326"/>
  <c r="G140" i="326"/>
  <c r="G138" i="326"/>
  <c r="F140" i="326"/>
  <c r="F138" i="326"/>
  <c r="E140" i="326"/>
  <c r="E138" i="326"/>
  <c r="D140" i="326"/>
  <c r="D138" i="326"/>
  <c r="C140" i="326"/>
  <c r="C138" i="326"/>
  <c r="I139" i="326"/>
  <c r="J139" i="326"/>
  <c r="J137" i="326"/>
  <c r="I136" i="326"/>
  <c r="J136" i="326"/>
  <c r="K135" i="326"/>
  <c r="H135" i="326"/>
  <c r="G135" i="326"/>
  <c r="F135" i="326"/>
  <c r="E135" i="326"/>
  <c r="D135" i="326"/>
  <c r="C135" i="326"/>
  <c r="J134" i="326"/>
  <c r="I133" i="326"/>
  <c r="J133" i="326"/>
  <c r="I132" i="326"/>
  <c r="J132" i="326"/>
  <c r="I131" i="326"/>
  <c r="J131" i="326"/>
  <c r="K130" i="326"/>
  <c r="H130" i="326"/>
  <c r="G130" i="326"/>
  <c r="I130" i="326"/>
  <c r="F130" i="326"/>
  <c r="E130" i="326"/>
  <c r="D130" i="326"/>
  <c r="C130" i="326"/>
  <c r="I129" i="326"/>
  <c r="J129" i="326"/>
  <c r="I128" i="326"/>
  <c r="J128" i="326"/>
  <c r="I127" i="326"/>
  <c r="J127" i="326"/>
  <c r="I126" i="326"/>
  <c r="J126" i="326"/>
  <c r="I125" i="326"/>
  <c r="J125" i="326"/>
  <c r="I124" i="326"/>
  <c r="J124" i="326"/>
  <c r="I123" i="326"/>
  <c r="J123" i="326"/>
  <c r="I122" i="326"/>
  <c r="J122" i="326"/>
  <c r="I121" i="326"/>
  <c r="J121" i="326"/>
  <c r="I120" i="326"/>
  <c r="J120" i="326"/>
  <c r="I119" i="326"/>
  <c r="J119" i="326"/>
  <c r="K118" i="326"/>
  <c r="H118" i="326"/>
  <c r="G118" i="326"/>
  <c r="I118" i="326"/>
  <c r="F118" i="326"/>
  <c r="F117" i="326"/>
  <c r="E118" i="326"/>
  <c r="D118" i="326"/>
  <c r="C118" i="326"/>
  <c r="I116" i="326"/>
  <c r="J116" i="326"/>
  <c r="I115" i="326"/>
  <c r="J115" i="326"/>
  <c r="K114" i="326"/>
  <c r="H114" i="326"/>
  <c r="G114" i="326"/>
  <c r="F114" i="326"/>
  <c r="E114" i="326"/>
  <c r="D114" i="326"/>
  <c r="D110" i="326"/>
  <c r="C114" i="326"/>
  <c r="I113" i="326"/>
  <c r="J113" i="326"/>
  <c r="I112" i="326"/>
  <c r="J112" i="326"/>
  <c r="K111" i="326"/>
  <c r="K110" i="326"/>
  <c r="H111" i="326"/>
  <c r="G111" i="326"/>
  <c r="F111" i="326"/>
  <c r="E111" i="326"/>
  <c r="D111" i="326"/>
  <c r="C111" i="326"/>
  <c r="C110" i="326"/>
  <c r="I109" i="326"/>
  <c r="J109" i="326"/>
  <c r="I108" i="326"/>
  <c r="J108" i="326" s="1"/>
  <c r="I107" i="326"/>
  <c r="J107" i="326"/>
  <c r="I106" i="326"/>
  <c r="J106" i="326"/>
  <c r="I105" i="326"/>
  <c r="J105" i="326"/>
  <c r="I104" i="326"/>
  <c r="J104" i="326"/>
  <c r="K103" i="326"/>
  <c r="H103" i="326"/>
  <c r="G103" i="326"/>
  <c r="F103" i="326"/>
  <c r="E103" i="326"/>
  <c r="D103" i="326"/>
  <c r="C103" i="326"/>
  <c r="I102" i="326"/>
  <c r="J102" i="326"/>
  <c r="I101" i="326"/>
  <c r="J101" i="326"/>
  <c r="I100" i="326"/>
  <c r="J100" i="326"/>
  <c r="K99" i="326"/>
  <c r="H99" i="326"/>
  <c r="G99" i="326"/>
  <c r="F99" i="326"/>
  <c r="E99" i="326"/>
  <c r="D99" i="326"/>
  <c r="C99" i="326"/>
  <c r="I98" i="326"/>
  <c r="J98" i="326"/>
  <c r="I97" i="326"/>
  <c r="J97" i="326"/>
  <c r="I96" i="326"/>
  <c r="J96" i="326"/>
  <c r="I95" i="326"/>
  <c r="J95" i="326"/>
  <c r="I94" i="326"/>
  <c r="J94" i="326"/>
  <c r="I93" i="326"/>
  <c r="J93" i="326"/>
  <c r="I92" i="326"/>
  <c r="J92" i="326"/>
  <c r="I91" i="326"/>
  <c r="J91" i="326"/>
  <c r="I90" i="326"/>
  <c r="J90" i="326"/>
  <c r="I89" i="326"/>
  <c r="J89" i="326"/>
  <c r="I88" i="326"/>
  <c r="J88" i="326"/>
  <c r="I87" i="326"/>
  <c r="J87" i="326"/>
  <c r="I86" i="326"/>
  <c r="J86" i="326"/>
  <c r="I85" i="326"/>
  <c r="J85" i="326"/>
  <c r="I84" i="326"/>
  <c r="J84" i="326"/>
  <c r="I83" i="326"/>
  <c r="J83" i="326"/>
  <c r="I82" i="326"/>
  <c r="J82" i="326"/>
  <c r="I81" i="326"/>
  <c r="J81" i="326"/>
  <c r="I80" i="326"/>
  <c r="J80" i="326"/>
  <c r="I79" i="326"/>
  <c r="J79" i="326"/>
  <c r="I78" i="326"/>
  <c r="J78" i="326"/>
  <c r="I77" i="326"/>
  <c r="J77" i="326"/>
  <c r="K76" i="326"/>
  <c r="K75" i="326"/>
  <c r="H76" i="326"/>
  <c r="G76" i="326"/>
  <c r="G75" i="326" s="1"/>
  <c r="I75" i="326" s="1"/>
  <c r="J75" i="326" s="1"/>
  <c r="F76" i="326"/>
  <c r="F75" i="326" s="1"/>
  <c r="E76" i="326"/>
  <c r="D76" i="326"/>
  <c r="D75" i="326"/>
  <c r="C76" i="326"/>
  <c r="C75" i="326"/>
  <c r="C166" i="326"/>
  <c r="J74" i="326"/>
  <c r="I73" i="326"/>
  <c r="J73" i="326"/>
  <c r="I72" i="326"/>
  <c r="J72" i="326"/>
  <c r="I71" i="326"/>
  <c r="J71" i="326"/>
  <c r="I70" i="326"/>
  <c r="J70" i="326"/>
  <c r="K69" i="326"/>
  <c r="H69" i="326"/>
  <c r="G69" i="326"/>
  <c r="F69" i="326"/>
  <c r="E69" i="326"/>
  <c r="D69" i="326"/>
  <c r="C69" i="326"/>
  <c r="I68" i="326"/>
  <c r="J68" i="326"/>
  <c r="I67" i="326"/>
  <c r="J67" i="326"/>
  <c r="I66" i="326"/>
  <c r="J66" i="326"/>
  <c r="I65" i="326"/>
  <c r="J65" i="326"/>
  <c r="I64" i="326"/>
  <c r="J64" i="326"/>
  <c r="K63" i="326"/>
  <c r="H63" i="326"/>
  <c r="G63" i="326"/>
  <c r="I63" i="326"/>
  <c r="F63" i="326"/>
  <c r="E63" i="326"/>
  <c r="D63" i="326"/>
  <c r="C63" i="326"/>
  <c r="I62" i="326"/>
  <c r="J62" i="326"/>
  <c r="I61" i="326"/>
  <c r="J61" i="326"/>
  <c r="I60" i="326"/>
  <c r="J60" i="326"/>
  <c r="I59" i="326"/>
  <c r="J59" i="326"/>
  <c r="I58" i="326"/>
  <c r="J58" i="326"/>
  <c r="I57" i="326"/>
  <c r="J57" i="326"/>
  <c r="I56" i="326"/>
  <c r="J56" i="326"/>
  <c r="I55" i="326"/>
  <c r="J55" i="326"/>
  <c r="I54" i="326"/>
  <c r="J54" i="326"/>
  <c r="C53" i="326"/>
  <c r="I52" i="326"/>
  <c r="J52" i="326"/>
  <c r="I51" i="326"/>
  <c r="J51" i="326"/>
  <c r="I50" i="326"/>
  <c r="J50" i="326"/>
  <c r="I49" i="326"/>
  <c r="J49" i="326"/>
  <c r="I48" i="326"/>
  <c r="J48" i="326"/>
  <c r="I47" i="326"/>
  <c r="J47" i="326"/>
  <c r="I46" i="326"/>
  <c r="J46" i="326" s="1"/>
  <c r="K45" i="326"/>
  <c r="K7" i="326" s="1"/>
  <c r="H45" i="326"/>
  <c r="G45" i="326"/>
  <c r="F45" i="326"/>
  <c r="F7" i="326" s="1"/>
  <c r="E45" i="326"/>
  <c r="D45" i="326"/>
  <c r="D7" i="326"/>
  <c r="C45" i="326"/>
  <c r="I44" i="326"/>
  <c r="J44" i="326"/>
  <c r="I43" i="326"/>
  <c r="J43" i="326"/>
  <c r="I42" i="326"/>
  <c r="J42" i="326"/>
  <c r="I41" i="326"/>
  <c r="J41" i="326"/>
  <c r="I40" i="326"/>
  <c r="J40" i="326"/>
  <c r="I39" i="326"/>
  <c r="J39" i="326"/>
  <c r="K38" i="326"/>
  <c r="H38" i="326"/>
  <c r="G38" i="326"/>
  <c r="F38" i="326"/>
  <c r="E38" i="326"/>
  <c r="D38" i="326"/>
  <c r="C38" i="326"/>
  <c r="I37" i="326"/>
  <c r="J37" i="326"/>
  <c r="I36" i="326"/>
  <c r="J36" i="326"/>
  <c r="I35" i="326"/>
  <c r="J35" i="326"/>
  <c r="I34" i="326"/>
  <c r="J34" i="326"/>
  <c r="I33" i="326"/>
  <c r="J33" i="326"/>
  <c r="I32" i="326"/>
  <c r="J32" i="326"/>
  <c r="I31" i="326"/>
  <c r="J31" i="326"/>
  <c r="I30" i="326"/>
  <c r="J30" i="326"/>
  <c r="I29" i="326"/>
  <c r="J29" i="326"/>
  <c r="I28" i="326"/>
  <c r="J28" i="326"/>
  <c r="K27" i="326"/>
  <c r="H27" i="326"/>
  <c r="G27" i="326"/>
  <c r="F27" i="326"/>
  <c r="E27" i="326"/>
  <c r="D27" i="326"/>
  <c r="C27" i="326"/>
  <c r="I26" i="326"/>
  <c r="J26" i="326"/>
  <c r="I25" i="326"/>
  <c r="J25" i="326"/>
  <c r="I24" i="326"/>
  <c r="J24" i="326"/>
  <c r="I23" i="326"/>
  <c r="J23" i="326"/>
  <c r="I22" i="326"/>
  <c r="J22" i="326"/>
  <c r="I21" i="326"/>
  <c r="J21" i="326"/>
  <c r="I20" i="326"/>
  <c r="J20" i="326"/>
  <c r="I19" i="326"/>
  <c r="J19" i="326"/>
  <c r="I18" i="326"/>
  <c r="J18" i="326"/>
  <c r="K17" i="326"/>
  <c r="H17" i="326"/>
  <c r="G17" i="326"/>
  <c r="F17" i="326"/>
  <c r="E17" i="326"/>
  <c r="D17" i="326"/>
  <c r="C17" i="326"/>
  <c r="I16" i="326"/>
  <c r="J16" i="326"/>
  <c r="I15" i="326"/>
  <c r="J15" i="326"/>
  <c r="I14" i="326"/>
  <c r="J14" i="326"/>
  <c r="K13" i="326"/>
  <c r="H13" i="326"/>
  <c r="G13" i="326"/>
  <c r="F13" i="326"/>
  <c r="E13" i="326"/>
  <c r="D13" i="326"/>
  <c r="C13" i="326"/>
  <c r="I12" i="326"/>
  <c r="J12" i="326"/>
  <c r="I11" i="326"/>
  <c r="J11" i="326"/>
  <c r="I10" i="326"/>
  <c r="J10" i="326"/>
  <c r="C8" i="326"/>
  <c r="I161" i="242"/>
  <c r="J161" i="242" s="1"/>
  <c r="H160" i="242"/>
  <c r="I160" i="242" s="1"/>
  <c r="J160" i="242" s="1"/>
  <c r="G160" i="242"/>
  <c r="F160" i="242"/>
  <c r="E160" i="242"/>
  <c r="D160" i="242"/>
  <c r="C160" i="242"/>
  <c r="K140" i="242"/>
  <c r="K138" i="242" s="1"/>
  <c r="G140" i="242"/>
  <c r="F140" i="242"/>
  <c r="F138" i="242"/>
  <c r="E140" i="242"/>
  <c r="E138" i="242" s="1"/>
  <c r="D140" i="242"/>
  <c r="D138" i="242"/>
  <c r="C140" i="242"/>
  <c r="C138" i="242"/>
  <c r="I142" i="242"/>
  <c r="J142" i="242"/>
  <c r="I141" i="242"/>
  <c r="J141" i="242"/>
  <c r="I143" i="242"/>
  <c r="J143" i="242"/>
  <c r="J165" i="242"/>
  <c r="I164" i="242"/>
  <c r="J164" i="242"/>
  <c r="K163" i="242"/>
  <c r="H163" i="242"/>
  <c r="I163" i="242" s="1"/>
  <c r="J163" i="242" s="1"/>
  <c r="G163" i="242"/>
  <c r="F163" i="242"/>
  <c r="E163" i="242"/>
  <c r="D163" i="242"/>
  <c r="C163" i="242"/>
  <c r="I158" i="242"/>
  <c r="J158" i="242" s="1"/>
  <c r="K157" i="242"/>
  <c r="H157" i="242"/>
  <c r="G157" i="242"/>
  <c r="I157" i="242" s="1"/>
  <c r="J157" i="242" s="1"/>
  <c r="F157" i="242"/>
  <c r="E157" i="242"/>
  <c r="D157" i="242"/>
  <c r="C157" i="242"/>
  <c r="I155" i="242"/>
  <c r="J155" i="242" s="1"/>
  <c r="K154" i="242"/>
  <c r="H154" i="242"/>
  <c r="G154" i="242"/>
  <c r="F154" i="242"/>
  <c r="E154" i="242"/>
  <c r="D154" i="242"/>
  <c r="C154" i="242"/>
  <c r="J153" i="242"/>
  <c r="G151" i="242"/>
  <c r="F151" i="242"/>
  <c r="E151" i="242"/>
  <c r="D151" i="242"/>
  <c r="C151" i="242"/>
  <c r="K130" i="242"/>
  <c r="H130" i="242"/>
  <c r="G130" i="242"/>
  <c r="F130" i="242"/>
  <c r="F117" i="242" s="1"/>
  <c r="E130" i="242"/>
  <c r="D130" i="242"/>
  <c r="K118" i="242"/>
  <c r="K117" i="242"/>
  <c r="H118" i="242"/>
  <c r="H117" i="242" s="1"/>
  <c r="G118" i="242"/>
  <c r="F118" i="242"/>
  <c r="E118" i="242"/>
  <c r="E117" i="242" s="1"/>
  <c r="D118" i="242"/>
  <c r="D117" i="242"/>
  <c r="C118" i="242"/>
  <c r="I122" i="242"/>
  <c r="J122" i="242" s="1"/>
  <c r="I121" i="242"/>
  <c r="J121" i="242"/>
  <c r="I120" i="242"/>
  <c r="J120" i="242" s="1"/>
  <c r="C130" i="242"/>
  <c r="K111" i="242"/>
  <c r="H111" i="242"/>
  <c r="G111" i="242"/>
  <c r="F111" i="242"/>
  <c r="E111" i="242"/>
  <c r="D111" i="242"/>
  <c r="D110" i="242" s="1"/>
  <c r="C111" i="242"/>
  <c r="K114" i="242"/>
  <c r="H114" i="242"/>
  <c r="G114" i="242"/>
  <c r="F114" i="242"/>
  <c r="E114" i="242"/>
  <c r="D114" i="242"/>
  <c r="C114" i="242"/>
  <c r="C110" i="242"/>
  <c r="I112" i="242"/>
  <c r="J112" i="242"/>
  <c r="I113" i="242"/>
  <c r="J113" i="242"/>
  <c r="I116" i="242"/>
  <c r="J116" i="242"/>
  <c r="I115" i="242"/>
  <c r="J115" i="242"/>
  <c r="H103" i="242"/>
  <c r="G103" i="242"/>
  <c r="F103" i="242"/>
  <c r="E103" i="242"/>
  <c r="D103" i="242"/>
  <c r="C103" i="242"/>
  <c r="I106" i="242"/>
  <c r="J106" i="242"/>
  <c r="I105" i="242"/>
  <c r="J105" i="242" s="1"/>
  <c r="I104" i="242"/>
  <c r="J104" i="242" s="1"/>
  <c r="K99" i="242"/>
  <c r="H99" i="242"/>
  <c r="G99" i="242"/>
  <c r="F99" i="242"/>
  <c r="E99" i="242"/>
  <c r="D99" i="242"/>
  <c r="G76" i="242"/>
  <c r="G75" i="242" s="1"/>
  <c r="F76" i="242"/>
  <c r="F75" i="242" s="1"/>
  <c r="E76" i="242"/>
  <c r="D76" i="242"/>
  <c r="C99" i="242"/>
  <c r="C76" i="242"/>
  <c r="I87" i="242"/>
  <c r="J87" i="242" s="1"/>
  <c r="I86" i="242"/>
  <c r="J86" i="242" s="1"/>
  <c r="I83" i="242"/>
  <c r="J83" i="242" s="1"/>
  <c r="I82" i="242"/>
  <c r="J82" i="242" s="1"/>
  <c r="I80" i="242"/>
  <c r="J80" i="242" s="1"/>
  <c r="I79" i="242"/>
  <c r="J79" i="242" s="1"/>
  <c r="I77" i="242"/>
  <c r="J77" i="242" s="1"/>
  <c r="K63" i="242"/>
  <c r="H63" i="242"/>
  <c r="G63" i="242"/>
  <c r="F63" i="242"/>
  <c r="E63" i="242"/>
  <c r="D63" i="242"/>
  <c r="C63" i="242"/>
  <c r="I68" i="242"/>
  <c r="J68" i="242"/>
  <c r="I67" i="242"/>
  <c r="J67" i="242"/>
  <c r="I66" i="242"/>
  <c r="J66" i="242"/>
  <c r="I65" i="242"/>
  <c r="J65" i="242"/>
  <c r="I64" i="242"/>
  <c r="J64" i="242"/>
  <c r="D17" i="242"/>
  <c r="E17" i="242"/>
  <c r="F17" i="242"/>
  <c r="G17" i="242"/>
  <c r="H17" i="242"/>
  <c r="I17" i="242" s="1"/>
  <c r="J17" i="242" s="1"/>
  <c r="K17" i="242"/>
  <c r="I18" i="242"/>
  <c r="J18" i="242" s="1"/>
  <c r="I19" i="242"/>
  <c r="J19" i="242" s="1"/>
  <c r="I20" i="242"/>
  <c r="J20" i="242"/>
  <c r="I21" i="242"/>
  <c r="J21" i="242" s="1"/>
  <c r="I22" i="242"/>
  <c r="J22" i="242" s="1"/>
  <c r="I23" i="242"/>
  <c r="J23" i="242"/>
  <c r="I24" i="242"/>
  <c r="J24" i="242" s="1"/>
  <c r="C53" i="242"/>
  <c r="I62" i="242"/>
  <c r="J62" i="242"/>
  <c r="I61" i="242"/>
  <c r="J61" i="242"/>
  <c r="I60" i="242"/>
  <c r="J60" i="242"/>
  <c r="I59" i="242"/>
  <c r="J59" i="242"/>
  <c r="I58" i="242"/>
  <c r="J58" i="242"/>
  <c r="I57" i="242"/>
  <c r="J57" i="242"/>
  <c r="I56" i="242"/>
  <c r="J56" i="242"/>
  <c r="I55" i="242"/>
  <c r="J55" i="242"/>
  <c r="I54" i="242"/>
  <c r="J54" i="242"/>
  <c r="I48" i="242"/>
  <c r="J48" i="242"/>
  <c r="I52" i="242"/>
  <c r="J52" i="242"/>
  <c r="I51" i="242"/>
  <c r="J51" i="242"/>
  <c r="I50" i="242"/>
  <c r="J50" i="242"/>
  <c r="I49" i="242"/>
  <c r="J49" i="242"/>
  <c r="I47" i="242"/>
  <c r="J47" i="242"/>
  <c r="I46" i="242"/>
  <c r="J46" i="242"/>
  <c r="K45" i="242"/>
  <c r="H45" i="242"/>
  <c r="G45" i="242"/>
  <c r="I45" i="242"/>
  <c r="F45" i="242"/>
  <c r="E45" i="242"/>
  <c r="D45" i="242"/>
  <c r="C45" i="242"/>
  <c r="I41" i="242"/>
  <c r="J41" i="242" s="1"/>
  <c r="I42" i="242"/>
  <c r="J42" i="242" s="1"/>
  <c r="I40" i="242"/>
  <c r="J40" i="242" s="1"/>
  <c r="I44" i="242"/>
  <c r="J44" i="242" s="1"/>
  <c r="I43" i="242"/>
  <c r="J43" i="242" s="1"/>
  <c r="I39" i="242"/>
  <c r="J39" i="242" s="1"/>
  <c r="K38" i="242"/>
  <c r="H38" i="242"/>
  <c r="G38" i="242"/>
  <c r="F38" i="242"/>
  <c r="E38" i="242"/>
  <c r="D38" i="242"/>
  <c r="C38" i="242"/>
  <c r="I36" i="242"/>
  <c r="J36" i="242" s="1"/>
  <c r="I35" i="242"/>
  <c r="J35" i="242" s="1"/>
  <c r="I34" i="242"/>
  <c r="J34" i="242" s="1"/>
  <c r="I33" i="242"/>
  <c r="J33" i="242" s="1"/>
  <c r="I32" i="242"/>
  <c r="J32" i="242" s="1"/>
  <c r="I31" i="242"/>
  <c r="J31" i="242" s="1"/>
  <c r="I30" i="242"/>
  <c r="J30" i="242" s="1"/>
  <c r="I29" i="242"/>
  <c r="J29" i="242"/>
  <c r="C17" i="242"/>
  <c r="I26" i="242"/>
  <c r="J26" i="242" s="1"/>
  <c r="I25" i="242"/>
  <c r="J25" i="242"/>
  <c r="C8" i="242"/>
  <c r="I10" i="242"/>
  <c r="J10" i="242"/>
  <c r="I9" i="242"/>
  <c r="J9" i="242" s="1"/>
  <c r="I243" i="330"/>
  <c r="J243" i="330" s="1"/>
  <c r="A243" i="330"/>
  <c r="A239" i="330"/>
  <c r="K235" i="330"/>
  <c r="K47" i="241"/>
  <c r="G235" i="330"/>
  <c r="G47" i="241" s="1"/>
  <c r="F235" i="330"/>
  <c r="F47" i="241" s="1"/>
  <c r="E235" i="330"/>
  <c r="E47" i="241" s="1"/>
  <c r="D235" i="330"/>
  <c r="D47" i="241"/>
  <c r="D43" i="241"/>
  <c r="C235" i="330"/>
  <c r="C47" i="241"/>
  <c r="I238" i="330"/>
  <c r="J238" i="330" s="1"/>
  <c r="A238" i="330"/>
  <c r="A237" i="330"/>
  <c r="A236" i="330"/>
  <c r="I233" i="330"/>
  <c r="J233" i="330" s="1"/>
  <c r="A233" i="330"/>
  <c r="I228" i="330"/>
  <c r="J228" i="330" s="1"/>
  <c r="A228" i="330"/>
  <c r="A229" i="330"/>
  <c r="I229" i="330"/>
  <c r="J229" i="330" s="1"/>
  <c r="I224" i="330"/>
  <c r="J224" i="330" s="1"/>
  <c r="A224" i="330"/>
  <c r="A220" i="330"/>
  <c r="A219" i="330"/>
  <c r="A218" i="330"/>
  <c r="A217" i="330"/>
  <c r="A216" i="330"/>
  <c r="I219" i="330"/>
  <c r="J219" i="330" s="1"/>
  <c r="I217" i="330"/>
  <c r="J217" i="330" s="1"/>
  <c r="A213" i="330"/>
  <c r="A212" i="330"/>
  <c r="A211" i="330"/>
  <c r="A210" i="330"/>
  <c r="I211" i="330"/>
  <c r="J211" i="330" s="1"/>
  <c r="A208" i="330"/>
  <c r="A207" i="330"/>
  <c r="A206" i="330"/>
  <c r="A205" i="330"/>
  <c r="A204" i="330"/>
  <c r="A203" i="330"/>
  <c r="A202" i="330"/>
  <c r="A201" i="330"/>
  <c r="A200" i="330"/>
  <c r="A199" i="330"/>
  <c r="I202" i="330"/>
  <c r="J202" i="330" s="1"/>
  <c r="I201" i="330"/>
  <c r="J201" i="330" s="1"/>
  <c r="I200" i="330"/>
  <c r="J200" i="330" s="1"/>
  <c r="I206" i="330"/>
  <c r="J206" i="330" s="1"/>
  <c r="I205" i="330"/>
  <c r="J205" i="330" s="1"/>
  <c r="I207" i="330"/>
  <c r="J207" i="330" s="1"/>
  <c r="I208" i="330"/>
  <c r="J208" i="330" s="1"/>
  <c r="A196" i="330"/>
  <c r="A195" i="330"/>
  <c r="A194" i="330"/>
  <c r="A193" i="330"/>
  <c r="A192" i="330"/>
  <c r="A191" i="330"/>
  <c r="A190" i="330"/>
  <c r="I192" i="330"/>
  <c r="J192" i="330" s="1"/>
  <c r="I191" i="330"/>
  <c r="J191" i="330" s="1"/>
  <c r="I194" i="330"/>
  <c r="J194" i="330" s="1"/>
  <c r="I193" i="330"/>
  <c r="J193" i="330" s="1"/>
  <c r="A188" i="330"/>
  <c r="A187" i="330"/>
  <c r="K186" i="330"/>
  <c r="K37" i="241" s="1"/>
  <c r="H186" i="330"/>
  <c r="G186" i="330"/>
  <c r="G37" i="241" s="1"/>
  <c r="I37" i="241" s="1"/>
  <c r="J37" i="241" s="1"/>
  <c r="F186" i="330"/>
  <c r="F37" i="241" s="1"/>
  <c r="E186" i="330"/>
  <c r="E37" i="241" s="1"/>
  <c r="D186" i="330"/>
  <c r="D37" i="241"/>
  <c r="C186" i="330"/>
  <c r="C37" i="241"/>
  <c r="I188" i="330"/>
  <c r="J188" i="330" s="1"/>
  <c r="I187" i="330"/>
  <c r="J187" i="330" s="1"/>
  <c r="A176" i="330"/>
  <c r="A175" i="330"/>
  <c r="A174" i="330"/>
  <c r="K171" i="330"/>
  <c r="K35" i="241" s="1"/>
  <c r="G171" i="330"/>
  <c r="G35" i="241"/>
  <c r="F171" i="330"/>
  <c r="F35" i="241" s="1"/>
  <c r="E171" i="330"/>
  <c r="E35" i="241" s="1"/>
  <c r="D171" i="330"/>
  <c r="D35" i="241"/>
  <c r="C171" i="330"/>
  <c r="C35" i="241"/>
  <c r="I176" i="330"/>
  <c r="J176" i="330" s="1"/>
  <c r="I173" i="330"/>
  <c r="J173" i="330" s="1"/>
  <c r="A173" i="330"/>
  <c r="I172" i="330"/>
  <c r="J172" i="330" s="1"/>
  <c r="A172" i="330"/>
  <c r="A170" i="330"/>
  <c r="A169" i="330"/>
  <c r="A168" i="330"/>
  <c r="A167" i="330"/>
  <c r="A166" i="330"/>
  <c r="A165" i="330"/>
  <c r="A164" i="330"/>
  <c r="A163" i="330"/>
  <c r="A162" i="330"/>
  <c r="A161" i="330"/>
  <c r="A160" i="330"/>
  <c r="A159" i="330"/>
  <c r="A158" i="330"/>
  <c r="A157" i="330"/>
  <c r="A156" i="330"/>
  <c r="A155" i="330"/>
  <c r="A154" i="330"/>
  <c r="A153" i="330"/>
  <c r="A152" i="330"/>
  <c r="A151" i="330"/>
  <c r="A150" i="330"/>
  <c r="I158" i="330"/>
  <c r="J158" i="330" s="1"/>
  <c r="I157" i="330"/>
  <c r="J157" i="330" s="1"/>
  <c r="I155" i="330"/>
  <c r="J155" i="330" s="1"/>
  <c r="I154" i="330"/>
  <c r="J154" i="330" s="1"/>
  <c r="I151" i="330"/>
  <c r="J151" i="330" s="1"/>
  <c r="I163" i="330"/>
  <c r="J163" i="330" s="1"/>
  <c r="I162" i="330"/>
  <c r="J162" i="330" s="1"/>
  <c r="I161" i="330"/>
  <c r="J161" i="330" s="1"/>
  <c r="A147" i="330"/>
  <c r="A145" i="330"/>
  <c r="A144" i="330"/>
  <c r="A143" i="330"/>
  <c r="A142" i="330"/>
  <c r="A141" i="330"/>
  <c r="A140" i="330"/>
  <c r="A139" i="330"/>
  <c r="A138" i="330"/>
  <c r="A137" i="330"/>
  <c r="A136" i="330"/>
  <c r="A135" i="330"/>
  <c r="A134" i="330"/>
  <c r="A133" i="330"/>
  <c r="K132" i="330"/>
  <c r="G132" i="330"/>
  <c r="G31" i="241" s="1"/>
  <c r="F132" i="330"/>
  <c r="F31" i="241" s="1"/>
  <c r="E132" i="330"/>
  <c r="D132" i="330"/>
  <c r="D31" i="241"/>
  <c r="K27" i="330"/>
  <c r="K11" i="241" s="1"/>
  <c r="H27" i="330"/>
  <c r="H11" i="241" s="1"/>
  <c r="G27" i="330"/>
  <c r="G11" i="241" s="1"/>
  <c r="F27" i="330"/>
  <c r="F11" i="241" s="1"/>
  <c r="E27" i="330"/>
  <c r="E11" i="241" s="1"/>
  <c r="D27" i="330"/>
  <c r="C27" i="330"/>
  <c r="C11" i="241"/>
  <c r="K10" i="330"/>
  <c r="G8" i="241"/>
  <c r="E10" i="330"/>
  <c r="E6" i="330" s="1"/>
  <c r="D10" i="330"/>
  <c r="D8" i="241"/>
  <c r="C10" i="330"/>
  <c r="C132" i="330"/>
  <c r="C31" i="241"/>
  <c r="I145" i="330"/>
  <c r="J145" i="330" s="1"/>
  <c r="I143" i="330"/>
  <c r="J143" i="330" s="1"/>
  <c r="I142" i="330"/>
  <c r="J142" i="330" s="1"/>
  <c r="I141" i="330"/>
  <c r="J141" i="330" s="1"/>
  <c r="I139" i="330"/>
  <c r="J139" i="330" s="1"/>
  <c r="I138" i="330"/>
  <c r="J138" i="330" s="1"/>
  <c r="I137" i="330"/>
  <c r="J137" i="330" s="1"/>
  <c r="I135" i="330"/>
  <c r="J135" i="330" s="1"/>
  <c r="I133" i="330"/>
  <c r="J133" i="330" s="1"/>
  <c r="A146" i="330"/>
  <c r="C146" i="330"/>
  <c r="C32" i="241"/>
  <c r="D146" i="330"/>
  <c r="E146" i="330"/>
  <c r="E32" i="241" s="1"/>
  <c r="F146" i="330"/>
  <c r="F32" i="241" s="1"/>
  <c r="G146" i="330"/>
  <c r="H146" i="330"/>
  <c r="H32" i="241" s="1"/>
  <c r="K146" i="330"/>
  <c r="K32" i="241" s="1"/>
  <c r="I147" i="330"/>
  <c r="J147" i="330" s="1"/>
  <c r="A148" i="330"/>
  <c r="A149" i="330"/>
  <c r="C149" i="330"/>
  <c r="C34" i="241"/>
  <c r="D149" i="330"/>
  <c r="D34" i="241"/>
  <c r="E149" i="330"/>
  <c r="E34" i="241" s="1"/>
  <c r="F149" i="330"/>
  <c r="F34" i="241" s="1"/>
  <c r="G149" i="330"/>
  <c r="G34" i="241" s="1"/>
  <c r="K149" i="330"/>
  <c r="K34" i="241" s="1"/>
  <c r="I150" i="330"/>
  <c r="J150" i="330" s="1"/>
  <c r="I166" i="330"/>
  <c r="J166" i="330" s="1"/>
  <c r="I168" i="330"/>
  <c r="J168" i="330" s="1"/>
  <c r="I169" i="330"/>
  <c r="J169" i="330" s="1"/>
  <c r="I170" i="330"/>
  <c r="J170" i="330" s="1"/>
  <c r="K113" i="330"/>
  <c r="K24" i="241"/>
  <c r="H113" i="330"/>
  <c r="H24" i="241" s="1"/>
  <c r="G113" i="330"/>
  <c r="G24" i="241" s="1"/>
  <c r="F113" i="330"/>
  <c r="F24" i="241" s="1"/>
  <c r="E113" i="330"/>
  <c r="E24" i="241" s="1"/>
  <c r="D113" i="330"/>
  <c r="D24" i="241"/>
  <c r="C113" i="330"/>
  <c r="C24" i="241"/>
  <c r="I115" i="330"/>
  <c r="J115" i="330" s="1"/>
  <c r="I114" i="330"/>
  <c r="J114" i="330" s="1"/>
  <c r="I117" i="330"/>
  <c r="J117" i="330" s="1"/>
  <c r="I111" i="330"/>
  <c r="J111" i="330" s="1"/>
  <c r="I106" i="330"/>
  <c r="J106" i="330" s="1"/>
  <c r="I102" i="330"/>
  <c r="J102" i="330" s="1"/>
  <c r="I95" i="330"/>
  <c r="J95" i="330" s="1"/>
  <c r="I94" i="330"/>
  <c r="J94" i="330" s="1"/>
  <c r="I96" i="330"/>
  <c r="J96" i="330" s="1"/>
  <c r="K76" i="330"/>
  <c r="H76" i="330"/>
  <c r="H17" i="241" s="1"/>
  <c r="G76" i="330"/>
  <c r="G17" i="241" s="1"/>
  <c r="F76" i="330"/>
  <c r="F17" i="241" s="1"/>
  <c r="E76" i="330"/>
  <c r="E17" i="241" s="1"/>
  <c r="D17" i="241"/>
  <c r="C76" i="330"/>
  <c r="C17" i="241"/>
  <c r="I77" i="330"/>
  <c r="J77" i="330" s="1"/>
  <c r="I81" i="330"/>
  <c r="J81" i="330" s="1"/>
  <c r="I80" i="330"/>
  <c r="J80" i="330" s="1"/>
  <c r="I79" i="330"/>
  <c r="J79" i="330" s="1"/>
  <c r="I78" i="330"/>
  <c r="J78" i="330" s="1"/>
  <c r="I83" i="330"/>
  <c r="J83" i="330" s="1"/>
  <c r="I82" i="330"/>
  <c r="J82" i="330" s="1"/>
  <c r="K67" i="330"/>
  <c r="K15" i="241"/>
  <c r="H67" i="330"/>
  <c r="H15" i="241"/>
  <c r="G67" i="330"/>
  <c r="F67" i="330"/>
  <c r="F15" i="241"/>
  <c r="E67" i="330"/>
  <c r="E15" i="241"/>
  <c r="D67" i="330"/>
  <c r="C67" i="330"/>
  <c r="C15" i="241"/>
  <c r="H64" i="330"/>
  <c r="H14" i="241" s="1"/>
  <c r="G64" i="330"/>
  <c r="G14" i="241" s="1"/>
  <c r="F64" i="330"/>
  <c r="F14" i="241" s="1"/>
  <c r="E64" i="330"/>
  <c r="E14" i="241" s="1"/>
  <c r="D64" i="330"/>
  <c r="D14" i="241"/>
  <c r="K64" i="330"/>
  <c r="K14" i="241"/>
  <c r="C64" i="330"/>
  <c r="C14" i="241"/>
  <c r="I69" i="330"/>
  <c r="J69" i="330"/>
  <c r="I68" i="330"/>
  <c r="J68" i="330"/>
  <c r="I71" i="330"/>
  <c r="J71" i="330"/>
  <c r="I70" i="330"/>
  <c r="J70" i="330"/>
  <c r="I66" i="330"/>
  <c r="J66" i="330" s="1"/>
  <c r="I65" i="330"/>
  <c r="J65" i="330" s="1"/>
  <c r="K49" i="330"/>
  <c r="K12" i="241" s="1"/>
  <c r="G49" i="330"/>
  <c r="G12" i="241" s="1"/>
  <c r="F49" i="330"/>
  <c r="F12" i="241" s="1"/>
  <c r="E49" i="330"/>
  <c r="E12" i="241" s="1"/>
  <c r="D49" i="330"/>
  <c r="D12" i="241"/>
  <c r="C49" i="330"/>
  <c r="C12" i="241"/>
  <c r="I54" i="330"/>
  <c r="J54" i="330" s="1"/>
  <c r="I52" i="330"/>
  <c r="J52" i="330" s="1"/>
  <c r="I51" i="330"/>
  <c r="J51" i="330" s="1"/>
  <c r="I50" i="330"/>
  <c r="J50" i="330" s="1"/>
  <c r="C55" i="330"/>
  <c r="C13" i="241"/>
  <c r="D55" i="330"/>
  <c r="D13" i="241"/>
  <c r="E55" i="330"/>
  <c r="E13" i="241" s="1"/>
  <c r="F55" i="330"/>
  <c r="F13" i="241" s="1"/>
  <c r="G55" i="330"/>
  <c r="G13" i="241" s="1"/>
  <c r="K55" i="330"/>
  <c r="I56" i="330"/>
  <c r="J56" i="330" s="1"/>
  <c r="I59" i="330"/>
  <c r="J59" i="330" s="1"/>
  <c r="I39" i="330"/>
  <c r="J39" i="330" s="1"/>
  <c r="I38" i="330"/>
  <c r="J38" i="330" s="1"/>
  <c r="I36" i="330"/>
  <c r="J36" i="330" s="1"/>
  <c r="I35" i="330"/>
  <c r="J35" i="330" s="1"/>
  <c r="I33" i="330"/>
  <c r="J33" i="330" s="1"/>
  <c r="I32" i="330"/>
  <c r="J32" i="330" s="1"/>
  <c r="I30" i="330"/>
  <c r="J30" i="330" s="1"/>
  <c r="I29" i="330"/>
  <c r="J29" i="330" s="1"/>
  <c r="I17" i="330"/>
  <c r="J17" i="330" s="1"/>
  <c r="I15" i="330"/>
  <c r="J15" i="330" s="1"/>
  <c r="I13" i="330"/>
  <c r="J13" i="330" s="1"/>
  <c r="I11" i="330"/>
  <c r="J11" i="330" s="1"/>
  <c r="I19" i="330"/>
  <c r="J19" i="330" s="1"/>
  <c r="I23" i="330"/>
  <c r="J23" i="330" s="1"/>
  <c r="I21" i="330"/>
  <c r="J21" i="330" s="1"/>
  <c r="E81" i="100"/>
  <c r="E79" i="100"/>
  <c r="F81" i="100"/>
  <c r="F79" i="100"/>
  <c r="A21" i="267"/>
  <c r="I8" i="177"/>
  <c r="J8" i="177" s="1"/>
  <c r="I9" i="177"/>
  <c r="J9" i="177" s="1"/>
  <c r="H40" i="177"/>
  <c r="J8" i="267"/>
  <c r="L20" i="175"/>
  <c r="L19" i="175"/>
  <c r="L18" i="175"/>
  <c r="L17" i="175"/>
  <c r="L9" i="175"/>
  <c r="L10" i="175"/>
  <c r="L13" i="175"/>
  <c r="K15" i="175"/>
  <c r="L15" i="175"/>
  <c r="L12" i="175"/>
  <c r="L11" i="175"/>
  <c r="L8" i="175"/>
  <c r="L7" i="175"/>
  <c r="L6" i="175"/>
  <c r="L5" i="175"/>
  <c r="X11" i="329"/>
  <c r="F9" i="334"/>
  <c r="G30" i="334"/>
  <c r="G29" i="334"/>
  <c r="F46" i="334"/>
  <c r="F45" i="334"/>
  <c r="F44" i="334"/>
  <c r="G44" i="334"/>
  <c r="F43" i="334"/>
  <c r="G43" i="334"/>
  <c r="F42" i="334"/>
  <c r="G42" i="334"/>
  <c r="F40" i="334"/>
  <c r="G40" i="334"/>
  <c r="F39" i="334"/>
  <c r="F37" i="334"/>
  <c r="G37" i="334"/>
  <c r="F36" i="334"/>
  <c r="G36" i="334"/>
  <c r="F35" i="334"/>
  <c r="G35" i="334"/>
  <c r="F34" i="334"/>
  <c r="G34" i="334"/>
  <c r="F33" i="334"/>
  <c r="G33" i="334"/>
  <c r="F32" i="334"/>
  <c r="F27" i="334"/>
  <c r="G27" i="334"/>
  <c r="F26" i="334"/>
  <c r="G26" i="334"/>
  <c r="F24" i="334"/>
  <c r="G24" i="334"/>
  <c r="F23" i="334"/>
  <c r="G23" i="334"/>
  <c r="F21" i="334"/>
  <c r="G21" i="334"/>
  <c r="F20" i="334"/>
  <c r="G20" i="334"/>
  <c r="F19" i="334"/>
  <c r="G19" i="334"/>
  <c r="F18" i="334"/>
  <c r="F17" i="334"/>
  <c r="G17" i="334"/>
  <c r="F15" i="334"/>
  <c r="G15" i="334"/>
  <c r="F14" i="334"/>
  <c r="G14" i="334"/>
  <c r="F13" i="334"/>
  <c r="G13" i="334"/>
  <c r="F12" i="334"/>
  <c r="G12" i="334"/>
  <c r="F11" i="334"/>
  <c r="G11" i="334"/>
  <c r="F10" i="334"/>
  <c r="G10" i="334"/>
  <c r="B107" i="100"/>
  <c r="B90" i="100"/>
  <c r="K6" i="175"/>
  <c r="N21" i="175"/>
  <c r="N14" i="175"/>
  <c r="K5" i="175"/>
  <c r="K19" i="175"/>
  <c r="C80" i="172" s="1"/>
  <c r="B80" i="172" s="1"/>
  <c r="K13" i="175"/>
  <c r="K12" i="175"/>
  <c r="K11" i="175"/>
  <c r="K10" i="175"/>
  <c r="K9" i="175"/>
  <c r="K8" i="175"/>
  <c r="K7" i="175"/>
  <c r="A50" i="334"/>
  <c r="A46" i="334"/>
  <c r="E44" i="334"/>
  <c r="D44" i="334"/>
  <c r="C44" i="334"/>
  <c r="A43" i="334"/>
  <c r="E41" i="334"/>
  <c r="D41" i="334"/>
  <c r="C41" i="334"/>
  <c r="A40" i="334"/>
  <c r="E38" i="334"/>
  <c r="E47" i="334"/>
  <c r="D38" i="334"/>
  <c r="C38" i="334"/>
  <c r="A37" i="334"/>
  <c r="A32" i="334"/>
  <c r="E31" i="334"/>
  <c r="D31" i="334"/>
  <c r="D47" i="334"/>
  <c r="C31" i="334"/>
  <c r="A27" i="334"/>
  <c r="E25" i="334"/>
  <c r="D25" i="334"/>
  <c r="C25" i="334"/>
  <c r="A25" i="334"/>
  <c r="A24" i="334"/>
  <c r="E22" i="334"/>
  <c r="D22" i="334"/>
  <c r="C22" i="334"/>
  <c r="A22" i="334"/>
  <c r="A21" i="334"/>
  <c r="A20" i="334"/>
  <c r="A19" i="334"/>
  <c r="A18" i="334"/>
  <c r="A17" i="334"/>
  <c r="E16" i="334"/>
  <c r="D16" i="334"/>
  <c r="C16" i="334"/>
  <c r="A16" i="334"/>
  <c r="A15" i="334"/>
  <c r="A12" i="334"/>
  <c r="A11" i="334"/>
  <c r="A10" i="334"/>
  <c r="A9" i="334"/>
  <c r="E8" i="334"/>
  <c r="D8" i="334"/>
  <c r="C8" i="334"/>
  <c r="A8" i="334"/>
  <c r="G3" i="334"/>
  <c r="F3" i="334"/>
  <c r="E3" i="334"/>
  <c r="D3" i="334"/>
  <c r="B2" i="334"/>
  <c r="A2" i="334"/>
  <c r="E29" i="269"/>
  <c r="B91" i="100"/>
  <c r="J10" i="267"/>
  <c r="F10" i="267"/>
  <c r="E10" i="267"/>
  <c r="D10" i="267"/>
  <c r="C10" i="267"/>
  <c r="G8" i="267"/>
  <c r="F8" i="267"/>
  <c r="E8" i="267"/>
  <c r="D8" i="267"/>
  <c r="C8" i="267"/>
  <c r="C11" i="267"/>
  <c r="B10" i="267"/>
  <c r="B8" i="267"/>
  <c r="B9" i="267"/>
  <c r="C307" i="322"/>
  <c r="I90" i="318"/>
  <c r="J90" i="318" s="1"/>
  <c r="I78" i="318"/>
  <c r="J78" i="318" s="1"/>
  <c r="I77" i="318"/>
  <c r="J77" i="318" s="1"/>
  <c r="I76" i="318"/>
  <c r="J76" i="318" s="1"/>
  <c r="I75" i="318"/>
  <c r="J75" i="318" s="1"/>
  <c r="I63" i="318"/>
  <c r="J63" i="318" s="1"/>
  <c r="I61" i="318"/>
  <c r="J61" i="318"/>
  <c r="I60" i="318"/>
  <c r="J60" i="318"/>
  <c r="I59" i="318"/>
  <c r="J59" i="318"/>
  <c r="I58" i="318"/>
  <c r="J58" i="318"/>
  <c r="I57" i="318"/>
  <c r="J57" i="318"/>
  <c r="I41" i="318"/>
  <c r="J41" i="318" s="1"/>
  <c r="I39" i="318"/>
  <c r="J39" i="318" s="1"/>
  <c r="I36" i="318"/>
  <c r="J36" i="318" s="1"/>
  <c r="I37" i="318"/>
  <c r="J37" i="318" s="1"/>
  <c r="I38" i="318"/>
  <c r="J38" i="318" s="1"/>
  <c r="I42" i="318"/>
  <c r="J42" i="318" s="1"/>
  <c r="I43" i="318"/>
  <c r="J43" i="318" s="1"/>
  <c r="I44" i="318"/>
  <c r="J44" i="318" s="1"/>
  <c r="I45" i="318"/>
  <c r="J45" i="318" s="1"/>
  <c r="I23" i="318"/>
  <c r="J23" i="318" s="1"/>
  <c r="I25" i="318"/>
  <c r="J25" i="318" s="1"/>
  <c r="I24" i="318"/>
  <c r="J24" i="318" s="1"/>
  <c r="I22" i="318"/>
  <c r="J22" i="318" s="1"/>
  <c r="I12" i="318"/>
  <c r="J12" i="318" s="1"/>
  <c r="I10" i="318"/>
  <c r="J10" i="318" s="1"/>
  <c r="F99" i="100"/>
  <c r="E99" i="100"/>
  <c r="K3" i="333"/>
  <c r="J3" i="333"/>
  <c r="I3" i="333"/>
  <c r="H3" i="333"/>
  <c r="G3" i="333"/>
  <c r="F3" i="333"/>
  <c r="E3" i="333"/>
  <c r="D3" i="333"/>
  <c r="C3" i="333"/>
  <c r="B2" i="333"/>
  <c r="A2" i="333"/>
  <c r="A143" i="323"/>
  <c r="A315" i="323"/>
  <c r="A151" i="324"/>
  <c r="A152" i="324"/>
  <c r="A153" i="324"/>
  <c r="A154" i="324"/>
  <c r="A155" i="324"/>
  <c r="A156" i="324"/>
  <c r="A157" i="324"/>
  <c r="A158" i="324"/>
  <c r="A159" i="324"/>
  <c r="A161" i="324"/>
  <c r="A162" i="324"/>
  <c r="A163" i="324"/>
  <c r="A164" i="324"/>
  <c r="A165" i="324"/>
  <c r="A166" i="324"/>
  <c r="A167" i="324"/>
  <c r="A168" i="324"/>
  <c r="A169" i="324"/>
  <c r="A170" i="324"/>
  <c r="A172" i="324"/>
  <c r="A173" i="324"/>
  <c r="A174" i="324"/>
  <c r="A175" i="324"/>
  <c r="A176" i="324"/>
  <c r="A177" i="324"/>
  <c r="A178" i="324"/>
  <c r="A179" i="324"/>
  <c r="A180" i="324"/>
  <c r="A181" i="324"/>
  <c r="A183" i="324"/>
  <c r="A184" i="324"/>
  <c r="A185" i="324"/>
  <c r="A186" i="324"/>
  <c r="A187" i="324"/>
  <c r="A188" i="324"/>
  <c r="A189" i="324"/>
  <c r="A190" i="324"/>
  <c r="A191" i="324"/>
  <c r="A192" i="324"/>
  <c r="A194" i="324"/>
  <c r="A195" i="324"/>
  <c r="A196" i="324"/>
  <c r="A197" i="324"/>
  <c r="A198" i="324"/>
  <c r="A199" i="324"/>
  <c r="A200" i="324"/>
  <c r="A201" i="324"/>
  <c r="A202" i="324"/>
  <c r="A203" i="324"/>
  <c r="A205" i="324"/>
  <c r="A206" i="324"/>
  <c r="A207" i="324"/>
  <c r="A208" i="324"/>
  <c r="A209" i="324"/>
  <c r="A210" i="324"/>
  <c r="A211" i="324"/>
  <c r="A212" i="324"/>
  <c r="A213" i="324"/>
  <c r="A214" i="324"/>
  <c r="A216" i="324"/>
  <c r="A217" i="324"/>
  <c r="A218" i="324"/>
  <c r="A219" i="324"/>
  <c r="A220" i="324"/>
  <c r="A221" i="324"/>
  <c r="A222" i="324"/>
  <c r="A223" i="324"/>
  <c r="A224" i="324"/>
  <c r="A225" i="324"/>
  <c r="A227" i="324"/>
  <c r="A228" i="324"/>
  <c r="A229" i="324"/>
  <c r="A230" i="324"/>
  <c r="A231" i="324"/>
  <c r="A232" i="324"/>
  <c r="A233" i="324"/>
  <c r="A234" i="324"/>
  <c r="A235" i="324"/>
  <c r="A236" i="324"/>
  <c r="A238" i="324"/>
  <c r="A239" i="324"/>
  <c r="A240" i="324"/>
  <c r="A241" i="324"/>
  <c r="A242" i="324"/>
  <c r="A243" i="324"/>
  <c r="A244" i="324"/>
  <c r="A245" i="324"/>
  <c r="A246" i="324"/>
  <c r="A247" i="324"/>
  <c r="A249" i="324"/>
  <c r="A250" i="324"/>
  <c r="A251" i="324"/>
  <c r="A252" i="324"/>
  <c r="A253" i="324"/>
  <c r="A254" i="324"/>
  <c r="A255" i="324"/>
  <c r="A256" i="324"/>
  <c r="A257" i="324"/>
  <c r="A258" i="324"/>
  <c r="A260" i="324"/>
  <c r="A261" i="324"/>
  <c r="A262" i="324"/>
  <c r="A263" i="324"/>
  <c r="A264" i="324"/>
  <c r="A265" i="324"/>
  <c r="A266" i="324"/>
  <c r="A267" i="324"/>
  <c r="A268" i="324"/>
  <c r="A269" i="324"/>
  <c r="A271" i="324"/>
  <c r="A272" i="324"/>
  <c r="A273" i="324"/>
  <c r="A274" i="324"/>
  <c r="A275" i="324"/>
  <c r="A276" i="324"/>
  <c r="A277" i="324"/>
  <c r="A278" i="324"/>
  <c r="A279" i="324"/>
  <c r="A280" i="324"/>
  <c r="A282" i="324"/>
  <c r="A283" i="324"/>
  <c r="A284" i="324"/>
  <c r="A285" i="324"/>
  <c r="A286" i="324"/>
  <c r="A287" i="324"/>
  <c r="A288" i="324"/>
  <c r="A289" i="324"/>
  <c r="A290" i="324"/>
  <c r="A291" i="324"/>
  <c r="A293" i="324"/>
  <c r="A294" i="324"/>
  <c r="A295" i="324"/>
  <c r="A296" i="324"/>
  <c r="A297" i="324"/>
  <c r="A298" i="324"/>
  <c r="A299" i="324"/>
  <c r="A300" i="324"/>
  <c r="A301" i="324"/>
  <c r="A302" i="324"/>
  <c r="A304" i="324"/>
  <c r="A305" i="324"/>
  <c r="A306" i="324"/>
  <c r="A307" i="324"/>
  <c r="A308" i="324"/>
  <c r="A309" i="324"/>
  <c r="A310" i="324"/>
  <c r="A311" i="324"/>
  <c r="A312" i="324"/>
  <c r="A313" i="324"/>
  <c r="A150" i="324"/>
  <c r="A9" i="324"/>
  <c r="A10" i="324"/>
  <c r="A11" i="324"/>
  <c r="A13" i="324"/>
  <c r="A14" i="324"/>
  <c r="A15" i="324"/>
  <c r="A16" i="324"/>
  <c r="A17" i="324"/>
  <c r="A19" i="324"/>
  <c r="A20" i="324"/>
  <c r="A21" i="324"/>
  <c r="A22" i="324"/>
  <c r="A24" i="324"/>
  <c r="A25" i="324"/>
  <c r="A26" i="324"/>
  <c r="A27" i="324"/>
  <c r="A28" i="324"/>
  <c r="A30" i="324"/>
  <c r="A31" i="324"/>
  <c r="A32" i="324"/>
  <c r="A33" i="324"/>
  <c r="A34" i="324"/>
  <c r="A36" i="324"/>
  <c r="A37" i="324"/>
  <c r="A38" i="324"/>
  <c r="A39" i="324"/>
  <c r="A40" i="324"/>
  <c r="A8" i="324"/>
  <c r="A176" i="323"/>
  <c r="A177" i="323"/>
  <c r="A178" i="323"/>
  <c r="A179" i="323"/>
  <c r="A180" i="323"/>
  <c r="A181" i="323"/>
  <c r="A182" i="323"/>
  <c r="A183" i="323"/>
  <c r="A184" i="323"/>
  <c r="A186" i="323"/>
  <c r="A187" i="323"/>
  <c r="A188" i="323"/>
  <c r="A189" i="323"/>
  <c r="A190" i="323"/>
  <c r="A191" i="323"/>
  <c r="A192" i="323"/>
  <c r="A193" i="323"/>
  <c r="A194" i="323"/>
  <c r="A195" i="323"/>
  <c r="A197" i="323"/>
  <c r="A198" i="323"/>
  <c r="A199" i="323"/>
  <c r="A200" i="323"/>
  <c r="A201" i="323"/>
  <c r="A202" i="323"/>
  <c r="A203" i="323"/>
  <c r="A204" i="323"/>
  <c r="A205" i="323"/>
  <c r="A206" i="323"/>
  <c r="A208" i="323"/>
  <c r="A209" i="323"/>
  <c r="A210" i="323"/>
  <c r="A211" i="323"/>
  <c r="A212" i="323"/>
  <c r="A213" i="323"/>
  <c r="A214" i="323"/>
  <c r="A215" i="323"/>
  <c r="A216" i="323"/>
  <c r="A217" i="323"/>
  <c r="A219" i="323"/>
  <c r="A220" i="323"/>
  <c r="A221" i="323"/>
  <c r="A222" i="323"/>
  <c r="A223" i="323"/>
  <c r="A224" i="323"/>
  <c r="A225" i="323"/>
  <c r="A226" i="323"/>
  <c r="A227" i="323"/>
  <c r="A228" i="323"/>
  <c r="A230" i="323"/>
  <c r="A231" i="323"/>
  <c r="A232" i="323"/>
  <c r="A233" i="323"/>
  <c r="A234" i="323"/>
  <c r="A235" i="323"/>
  <c r="A236" i="323"/>
  <c r="A237" i="323"/>
  <c r="A238" i="323"/>
  <c r="A239" i="323"/>
  <c r="A241" i="323"/>
  <c r="A242" i="323"/>
  <c r="A243" i="323"/>
  <c r="A244" i="323"/>
  <c r="A245" i="323"/>
  <c r="A246" i="323"/>
  <c r="A247" i="323"/>
  <c r="A248" i="323"/>
  <c r="A249" i="323"/>
  <c r="A250" i="323"/>
  <c r="A252" i="323"/>
  <c r="A253" i="323"/>
  <c r="A254" i="323"/>
  <c r="A255" i="323"/>
  <c r="A256" i="323"/>
  <c r="A257" i="323"/>
  <c r="A258" i="323"/>
  <c r="A259" i="323"/>
  <c r="A260" i="323"/>
  <c r="A261" i="323"/>
  <c r="A263" i="323"/>
  <c r="A264" i="323"/>
  <c r="A265" i="323"/>
  <c r="A266" i="323"/>
  <c r="A267" i="323"/>
  <c r="A268" i="323"/>
  <c r="A269" i="323"/>
  <c r="A270" i="323"/>
  <c r="A271" i="323"/>
  <c r="A272" i="323"/>
  <c r="A274" i="323"/>
  <c r="A275" i="323"/>
  <c r="A276" i="323"/>
  <c r="A277" i="323"/>
  <c r="A278" i="323"/>
  <c r="A279" i="323"/>
  <c r="A280" i="323"/>
  <c r="A281" i="323"/>
  <c r="A282" i="323"/>
  <c r="A283" i="323"/>
  <c r="A285" i="323"/>
  <c r="A286" i="323"/>
  <c r="A287" i="323"/>
  <c r="A288" i="323"/>
  <c r="A289" i="323"/>
  <c r="A290" i="323"/>
  <c r="A291" i="323"/>
  <c r="A292" i="323"/>
  <c r="A293" i="323"/>
  <c r="A294" i="323"/>
  <c r="A296" i="323"/>
  <c r="A297" i="323"/>
  <c r="A298" i="323"/>
  <c r="A299" i="323"/>
  <c r="A300" i="323"/>
  <c r="A301" i="323"/>
  <c r="A302" i="323"/>
  <c r="A303" i="323"/>
  <c r="A304" i="323"/>
  <c r="A305" i="323"/>
  <c r="A307" i="323"/>
  <c r="A308" i="323"/>
  <c r="A309" i="323"/>
  <c r="A310" i="323"/>
  <c r="A311" i="323"/>
  <c r="A312" i="323"/>
  <c r="A313" i="323"/>
  <c r="A314" i="323"/>
  <c r="A316" i="323"/>
  <c r="A318" i="323"/>
  <c r="A319" i="323"/>
  <c r="A320" i="323"/>
  <c r="A321" i="323"/>
  <c r="A322" i="323"/>
  <c r="A323" i="323"/>
  <c r="A324" i="323"/>
  <c r="A325" i="323"/>
  <c r="A326" i="323"/>
  <c r="A327" i="323"/>
  <c r="A329" i="323"/>
  <c r="A330" i="323"/>
  <c r="A331" i="323"/>
  <c r="A332" i="323"/>
  <c r="A333" i="323"/>
  <c r="A334" i="323"/>
  <c r="A335" i="323"/>
  <c r="A336" i="323"/>
  <c r="A337" i="323"/>
  <c r="A338" i="323"/>
  <c r="A175" i="323"/>
  <c r="C174" i="323"/>
  <c r="D174" i="323"/>
  <c r="E174" i="323"/>
  <c r="F174" i="323"/>
  <c r="F24" i="272" s="1"/>
  <c r="G174" i="323"/>
  <c r="H174" i="323"/>
  <c r="H24" i="272" s="1"/>
  <c r="K174" i="323"/>
  <c r="K24" i="272" s="1"/>
  <c r="A162" i="323"/>
  <c r="A163" i="323"/>
  <c r="A164" i="323"/>
  <c r="A165" i="323"/>
  <c r="A166" i="323"/>
  <c r="A167" i="323"/>
  <c r="A168" i="323"/>
  <c r="A169" i="323"/>
  <c r="A170" i="323"/>
  <c r="A151" i="323"/>
  <c r="A152" i="323"/>
  <c r="A153" i="323"/>
  <c r="A154" i="323"/>
  <c r="A155" i="323"/>
  <c r="A156" i="323"/>
  <c r="A157" i="323"/>
  <c r="A158" i="323"/>
  <c r="A159" i="323"/>
  <c r="A140" i="323"/>
  <c r="A141" i="323"/>
  <c r="A142" i="323"/>
  <c r="A144" i="323"/>
  <c r="A145" i="323"/>
  <c r="A146" i="323"/>
  <c r="A147" i="323"/>
  <c r="A148" i="323"/>
  <c r="A129" i="323"/>
  <c r="A130" i="323"/>
  <c r="A131" i="323"/>
  <c r="A132" i="323"/>
  <c r="A133" i="323"/>
  <c r="A134" i="323"/>
  <c r="A135" i="323"/>
  <c r="A136" i="323"/>
  <c r="A137" i="323"/>
  <c r="A118" i="323"/>
  <c r="A119" i="323"/>
  <c r="A120" i="323"/>
  <c r="A121" i="323"/>
  <c r="A122" i="323"/>
  <c r="A123" i="323"/>
  <c r="A124" i="323"/>
  <c r="A125" i="323"/>
  <c r="A126" i="323"/>
  <c r="A107" i="323"/>
  <c r="A108" i="323"/>
  <c r="A109" i="323"/>
  <c r="A110" i="323"/>
  <c r="A111" i="323"/>
  <c r="A112" i="323"/>
  <c r="A113" i="323"/>
  <c r="A114" i="323"/>
  <c r="A115" i="323"/>
  <c r="A96" i="323"/>
  <c r="A97" i="323"/>
  <c r="A98" i="323"/>
  <c r="A99" i="323"/>
  <c r="A100" i="323"/>
  <c r="A101" i="323"/>
  <c r="A102" i="323"/>
  <c r="A103" i="323"/>
  <c r="A104" i="323"/>
  <c r="A85" i="323"/>
  <c r="A86" i="323"/>
  <c r="A87" i="323"/>
  <c r="A88" i="323"/>
  <c r="A89" i="323"/>
  <c r="A90" i="323"/>
  <c r="A91" i="323"/>
  <c r="A92" i="323"/>
  <c r="A93" i="323"/>
  <c r="A74" i="323"/>
  <c r="A75" i="323"/>
  <c r="A76" i="323"/>
  <c r="A77" i="323"/>
  <c r="A78" i="323"/>
  <c r="A79" i="323"/>
  <c r="A80" i="323"/>
  <c r="A81" i="323"/>
  <c r="A82" i="323"/>
  <c r="A63" i="323"/>
  <c r="A64" i="323"/>
  <c r="A65" i="323"/>
  <c r="A66" i="323"/>
  <c r="A67" i="323"/>
  <c r="A68" i="323"/>
  <c r="A69" i="323"/>
  <c r="A70" i="323"/>
  <c r="A71" i="323"/>
  <c r="A52" i="323"/>
  <c r="A53" i="323"/>
  <c r="A54" i="323"/>
  <c r="A55" i="323"/>
  <c r="A56" i="323"/>
  <c r="A57" i="323"/>
  <c r="A58" i="323"/>
  <c r="A59" i="323"/>
  <c r="A60" i="323"/>
  <c r="A41" i="323"/>
  <c r="A42" i="323"/>
  <c r="A43" i="323"/>
  <c r="A44" i="323"/>
  <c r="A45" i="323"/>
  <c r="A46" i="323"/>
  <c r="A47" i="323"/>
  <c r="A48" i="323"/>
  <c r="A49" i="323"/>
  <c r="A30" i="323"/>
  <c r="A31" i="323"/>
  <c r="A32" i="323"/>
  <c r="A33" i="323"/>
  <c r="A34" i="323"/>
  <c r="A35" i="323"/>
  <c r="A36" i="323"/>
  <c r="A37" i="323"/>
  <c r="A38" i="323"/>
  <c r="A19" i="323"/>
  <c r="A20" i="323"/>
  <c r="A21" i="323"/>
  <c r="A22" i="323"/>
  <c r="A23" i="323"/>
  <c r="A24" i="323"/>
  <c r="A25" i="323"/>
  <c r="A26" i="323"/>
  <c r="A27" i="323"/>
  <c r="A161" i="323"/>
  <c r="A150" i="323"/>
  <c r="A139" i="323"/>
  <c r="A128" i="323"/>
  <c r="A117" i="323"/>
  <c r="A106" i="323"/>
  <c r="A95" i="323"/>
  <c r="A84" i="323"/>
  <c r="A73" i="323"/>
  <c r="A62" i="323"/>
  <c r="A51" i="323"/>
  <c r="A40" i="323"/>
  <c r="A29" i="323"/>
  <c r="A18" i="323"/>
  <c r="A7" i="323"/>
  <c r="A8" i="323"/>
  <c r="A9" i="323"/>
  <c r="A10" i="323"/>
  <c r="A11" i="323"/>
  <c r="A12" i="323"/>
  <c r="A13" i="323"/>
  <c r="A14" i="323"/>
  <c r="A15" i="323"/>
  <c r="A16" i="323"/>
  <c r="A2" i="332"/>
  <c r="A6" i="272"/>
  <c r="A3" i="332"/>
  <c r="A17" i="323"/>
  <c r="D3" i="332"/>
  <c r="A4" i="332"/>
  <c r="D4" i="332"/>
  <c r="A5" i="332"/>
  <c r="D5" i="332"/>
  <c r="A6" i="332"/>
  <c r="A29" i="324"/>
  <c r="D6" i="332"/>
  <c r="A7" i="332"/>
  <c r="A229" i="323"/>
  <c r="D7" i="332"/>
  <c r="A8" i="332"/>
  <c r="D8" i="332"/>
  <c r="A9" i="332"/>
  <c r="D9" i="332"/>
  <c r="A10" i="332"/>
  <c r="A32" i="268"/>
  <c r="D10" i="332"/>
  <c r="A11" i="332"/>
  <c r="A105" i="323"/>
  <c r="D11" i="332"/>
  <c r="A12" i="332"/>
  <c r="A16" i="268"/>
  <c r="D12" i="332"/>
  <c r="A13" i="332"/>
  <c r="A14" i="332"/>
  <c r="D14" i="332"/>
  <c r="A15" i="332"/>
  <c r="A37" i="268"/>
  <c r="D15" i="332"/>
  <c r="A16" i="332"/>
  <c r="D16" i="332"/>
  <c r="D17" i="332"/>
  <c r="D18" i="332"/>
  <c r="D19" i="332"/>
  <c r="D20" i="332"/>
  <c r="D21" i="332"/>
  <c r="D22" i="332"/>
  <c r="D23" i="332"/>
  <c r="D25" i="332"/>
  <c r="D26" i="332"/>
  <c r="D27" i="332"/>
  <c r="D28" i="332"/>
  <c r="D29" i="332"/>
  <c r="D30" i="332"/>
  <c r="D31" i="332"/>
  <c r="D32" i="332"/>
  <c r="D33" i="332"/>
  <c r="D34" i="332"/>
  <c r="D36" i="332"/>
  <c r="D37" i="332"/>
  <c r="D38" i="332"/>
  <c r="D39" i="332"/>
  <c r="D40" i="332"/>
  <c r="D41" i="332"/>
  <c r="D42" i="332"/>
  <c r="D43" i="332"/>
  <c r="D44" i="332"/>
  <c r="D45" i="332"/>
  <c r="D47" i="332"/>
  <c r="D48" i="332"/>
  <c r="D49" i="332"/>
  <c r="D50" i="332"/>
  <c r="D51" i="332"/>
  <c r="D52" i="332"/>
  <c r="D53" i="332"/>
  <c r="D54" i="332"/>
  <c r="D55" i="332"/>
  <c r="D56" i="332"/>
  <c r="D58" i="332"/>
  <c r="D59" i="332"/>
  <c r="D60" i="332"/>
  <c r="D61" i="332"/>
  <c r="D62" i="332"/>
  <c r="D63" i="332"/>
  <c r="D64" i="332"/>
  <c r="D65" i="332"/>
  <c r="D66" i="332"/>
  <c r="D67" i="332"/>
  <c r="D69" i="332"/>
  <c r="D70" i="332"/>
  <c r="D71" i="332"/>
  <c r="D72" i="332"/>
  <c r="D73" i="332"/>
  <c r="D74" i="332"/>
  <c r="D75" i="332"/>
  <c r="D76" i="332"/>
  <c r="D77" i="332"/>
  <c r="D78" i="332"/>
  <c r="D80" i="332"/>
  <c r="D81" i="332"/>
  <c r="D82" i="332"/>
  <c r="D83" i="332"/>
  <c r="D84" i="332"/>
  <c r="D85" i="332"/>
  <c r="D86" i="332"/>
  <c r="D87" i="332"/>
  <c r="D88" i="332"/>
  <c r="D89" i="332"/>
  <c r="D91" i="332"/>
  <c r="D92" i="332"/>
  <c r="D93" i="332"/>
  <c r="D94" i="332"/>
  <c r="D95" i="332"/>
  <c r="D96" i="332"/>
  <c r="D97" i="332"/>
  <c r="D98" i="332"/>
  <c r="D99" i="332"/>
  <c r="D100" i="332"/>
  <c r="D102" i="332"/>
  <c r="D103" i="332"/>
  <c r="D104" i="332"/>
  <c r="D105" i="332"/>
  <c r="D106" i="332"/>
  <c r="D107" i="332"/>
  <c r="D108" i="332"/>
  <c r="D109" i="332"/>
  <c r="D110" i="332"/>
  <c r="D111" i="332"/>
  <c r="D113" i="332"/>
  <c r="D114" i="332"/>
  <c r="D115" i="332"/>
  <c r="D116" i="332"/>
  <c r="D117" i="332"/>
  <c r="D118" i="332"/>
  <c r="D119" i="332"/>
  <c r="D120" i="332"/>
  <c r="D121" i="332"/>
  <c r="D122" i="332"/>
  <c r="D124" i="332"/>
  <c r="D125" i="332"/>
  <c r="D126" i="332"/>
  <c r="D127" i="332"/>
  <c r="D128" i="332"/>
  <c r="D129" i="332"/>
  <c r="D130" i="332"/>
  <c r="D131" i="332"/>
  <c r="D132" i="332"/>
  <c r="D133" i="332"/>
  <c r="D135" i="332"/>
  <c r="D136" i="332"/>
  <c r="D137" i="332"/>
  <c r="D138" i="332"/>
  <c r="D139" i="332"/>
  <c r="D140" i="332"/>
  <c r="D141" i="332"/>
  <c r="D142" i="332"/>
  <c r="D143" i="332"/>
  <c r="D144" i="332"/>
  <c r="D146" i="332"/>
  <c r="D147" i="332"/>
  <c r="D148" i="332"/>
  <c r="D149" i="332"/>
  <c r="D150" i="332"/>
  <c r="D151" i="332"/>
  <c r="D152" i="332"/>
  <c r="D153" i="332"/>
  <c r="D154" i="332"/>
  <c r="D155" i="332"/>
  <c r="D157" i="332"/>
  <c r="D158" i="332"/>
  <c r="D159" i="332"/>
  <c r="D160" i="332"/>
  <c r="D161" i="332"/>
  <c r="D162" i="332"/>
  <c r="D163" i="332"/>
  <c r="D164" i="332"/>
  <c r="D165" i="332"/>
  <c r="D166" i="332"/>
  <c r="H54" i="174"/>
  <c r="G54" i="174"/>
  <c r="F54" i="174"/>
  <c r="E54" i="174"/>
  <c r="D54" i="174"/>
  <c r="I40" i="182"/>
  <c r="J40" i="182" s="1"/>
  <c r="I41" i="182"/>
  <c r="J41" i="182" s="1"/>
  <c r="I39" i="182"/>
  <c r="J39" i="182" s="1"/>
  <c r="K70" i="268"/>
  <c r="K74" i="268"/>
  <c r="K57" i="268"/>
  <c r="G57" i="268"/>
  <c r="F57" i="268"/>
  <c r="E57" i="268"/>
  <c r="D57" i="268"/>
  <c r="C57" i="268"/>
  <c r="C118" i="330"/>
  <c r="C25" i="241"/>
  <c r="H37" i="241"/>
  <c r="E31" i="241"/>
  <c r="C8" i="241"/>
  <c r="J13" i="267"/>
  <c r="J14" i="267"/>
  <c r="J15" i="267"/>
  <c r="J17" i="267"/>
  <c r="G12" i="267"/>
  <c r="G13" i="267"/>
  <c r="G14" i="267"/>
  <c r="G15" i="267"/>
  <c r="F12" i="267"/>
  <c r="F13" i="267"/>
  <c r="F14" i="267"/>
  <c r="F15" i="267"/>
  <c r="F16" i="267"/>
  <c r="F17" i="267"/>
  <c r="H17" i="267" s="1"/>
  <c r="I17" i="267" s="1"/>
  <c r="E12" i="267"/>
  <c r="E13" i="267"/>
  <c r="E14" i="267"/>
  <c r="E15" i="267"/>
  <c r="E16" i="267"/>
  <c r="E17" i="267"/>
  <c r="D12" i="267"/>
  <c r="D13" i="267"/>
  <c r="D14" i="267"/>
  <c r="D15" i="267"/>
  <c r="D16" i="267"/>
  <c r="D19" i="267" s="1"/>
  <c r="D17" i="267"/>
  <c r="C12" i="267"/>
  <c r="C13" i="267"/>
  <c r="C14" i="267"/>
  <c r="C15" i="267"/>
  <c r="C16" i="267"/>
  <c r="C17" i="267"/>
  <c r="B12" i="267"/>
  <c r="B13" i="267"/>
  <c r="B14" i="267"/>
  <c r="B15" i="267"/>
  <c r="B16" i="267"/>
  <c r="B17" i="267"/>
  <c r="C59" i="270"/>
  <c r="C45" i="270"/>
  <c r="C31" i="270"/>
  <c r="H18" i="177"/>
  <c r="G43" i="267" s="1"/>
  <c r="K185" i="323"/>
  <c r="K25" i="272"/>
  <c r="K196" i="323"/>
  <c r="K26" i="272" s="1"/>
  <c r="K207" i="323"/>
  <c r="K218" i="323"/>
  <c r="K28" i="272"/>
  <c r="K229" i="323"/>
  <c r="K29" i="272"/>
  <c r="K240" i="323"/>
  <c r="K251" i="323"/>
  <c r="K31" i="272"/>
  <c r="K262" i="323"/>
  <c r="K273" i="323"/>
  <c r="K284" i="323"/>
  <c r="K34" i="272"/>
  <c r="K295" i="323"/>
  <c r="K306" i="323"/>
  <c r="K36" i="272"/>
  <c r="K317" i="323"/>
  <c r="K37" i="272"/>
  <c r="K328" i="323"/>
  <c r="K38" i="272"/>
  <c r="H196" i="323"/>
  <c r="H207" i="323"/>
  <c r="H27" i="272" s="1"/>
  <c r="H218" i="323"/>
  <c r="H28" i="272" s="1"/>
  <c r="H229" i="323"/>
  <c r="H29" i="272" s="1"/>
  <c r="H240" i="323"/>
  <c r="H30" i="272"/>
  <c r="H251" i="323"/>
  <c r="H31" i="272"/>
  <c r="I31" i="272"/>
  <c r="J31" i="272"/>
  <c r="H262" i="323"/>
  <c r="I262" i="323"/>
  <c r="J262" i="323"/>
  <c r="H273" i="323"/>
  <c r="H284" i="323"/>
  <c r="I284" i="323"/>
  <c r="J284" i="323"/>
  <c r="H295" i="323"/>
  <c r="H306" i="323"/>
  <c r="H36" i="272"/>
  <c r="I36" i="272"/>
  <c r="J36" i="272"/>
  <c r="H317" i="323"/>
  <c r="H37" i="272"/>
  <c r="H328" i="323"/>
  <c r="H38" i="272"/>
  <c r="G185" i="323"/>
  <c r="G25" i="272" s="1"/>
  <c r="G196" i="323"/>
  <c r="G26" i="272" s="1"/>
  <c r="G207" i="323"/>
  <c r="G218" i="323"/>
  <c r="G229" i="323"/>
  <c r="G240" i="323"/>
  <c r="G251" i="323"/>
  <c r="G262" i="323"/>
  <c r="G273" i="323"/>
  <c r="G33" i="272"/>
  <c r="I33" i="272"/>
  <c r="J33" i="272"/>
  <c r="G284" i="323"/>
  <c r="G295" i="323"/>
  <c r="G35" i="272"/>
  <c r="I35" i="272"/>
  <c r="J35" i="272"/>
  <c r="G306" i="323"/>
  <c r="G317" i="323"/>
  <c r="I317" i="323"/>
  <c r="J317" i="323"/>
  <c r="G328" i="323"/>
  <c r="F185" i="323"/>
  <c r="F25" i="272" s="1"/>
  <c r="F196" i="323"/>
  <c r="F26" i="272" s="1"/>
  <c r="F207" i="323"/>
  <c r="F27" i="272" s="1"/>
  <c r="F218" i="323"/>
  <c r="F28" i="272" s="1"/>
  <c r="F229" i="323"/>
  <c r="F29" i="272" s="1"/>
  <c r="F240" i="323"/>
  <c r="F30" i="272"/>
  <c r="F251" i="323"/>
  <c r="F31" i="272"/>
  <c r="F262" i="323"/>
  <c r="F32" i="272"/>
  <c r="F273" i="323"/>
  <c r="F284" i="323"/>
  <c r="F34" i="272"/>
  <c r="F295" i="323"/>
  <c r="F35" i="272"/>
  <c r="F306" i="323"/>
  <c r="F36" i="272"/>
  <c r="F317" i="323"/>
  <c r="F37" i="272"/>
  <c r="F328" i="323"/>
  <c r="E185" i="323"/>
  <c r="E25" i="272" s="1"/>
  <c r="E196" i="323"/>
  <c r="E26" i="272"/>
  <c r="E207" i="323"/>
  <c r="E27" i="272" s="1"/>
  <c r="E218" i="323"/>
  <c r="E229" i="323"/>
  <c r="E29" i="272"/>
  <c r="E240" i="323"/>
  <c r="E251" i="323"/>
  <c r="E31" i="272"/>
  <c r="E262" i="323"/>
  <c r="E32" i="272"/>
  <c r="E273" i="323"/>
  <c r="E33" i="272"/>
  <c r="E284" i="323"/>
  <c r="E34" i="272"/>
  <c r="E295" i="323"/>
  <c r="E35" i="272"/>
  <c r="E306" i="323"/>
  <c r="E36" i="272"/>
  <c r="E317" i="323"/>
  <c r="E37" i="272"/>
  <c r="E328" i="323"/>
  <c r="E38" i="272"/>
  <c r="D185" i="323"/>
  <c r="D196" i="323"/>
  <c r="D207" i="323"/>
  <c r="D218" i="323"/>
  <c r="D28" i="272"/>
  <c r="D229" i="323"/>
  <c r="D29" i="272"/>
  <c r="D240" i="323"/>
  <c r="D251" i="323"/>
  <c r="D31" i="272"/>
  <c r="D262" i="323"/>
  <c r="D32" i="272"/>
  <c r="D273" i="323"/>
  <c r="D33" i="272"/>
  <c r="D284" i="323"/>
  <c r="D34" i="272"/>
  <c r="D295" i="323"/>
  <c r="D35" i="272"/>
  <c r="D306" i="323"/>
  <c r="D36" i="272"/>
  <c r="D317" i="323"/>
  <c r="D37" i="272"/>
  <c r="D328" i="323"/>
  <c r="D38" i="272"/>
  <c r="C185" i="323"/>
  <c r="C196" i="323"/>
  <c r="C207" i="323"/>
  <c r="C27" i="272"/>
  <c r="C218" i="323"/>
  <c r="C229" i="323"/>
  <c r="C240" i="323"/>
  <c r="C251" i="323"/>
  <c r="C262" i="323"/>
  <c r="C273" i="323"/>
  <c r="C33" i="272"/>
  <c r="C284" i="323"/>
  <c r="C34" i="272"/>
  <c r="C295" i="323"/>
  <c r="C35" i="272"/>
  <c r="C306" i="323"/>
  <c r="C36" i="272"/>
  <c r="C317" i="323"/>
  <c r="C37" i="272"/>
  <c r="C328" i="323"/>
  <c r="C38" i="272"/>
  <c r="D28" i="177"/>
  <c r="C44" i="267"/>
  <c r="D18" i="177"/>
  <c r="D39" i="177"/>
  <c r="D41" i="177"/>
  <c r="C46" i="267"/>
  <c r="K303" i="324"/>
  <c r="K38" i="268"/>
  <c r="K292" i="324"/>
  <c r="K37" i="268"/>
  <c r="K281" i="324"/>
  <c r="K36" i="268"/>
  <c r="K270" i="324"/>
  <c r="K35" i="268"/>
  <c r="K259" i="324"/>
  <c r="K34" i="268"/>
  <c r="K248" i="324"/>
  <c r="K33" i="268"/>
  <c r="K237" i="324"/>
  <c r="K32" i="268"/>
  <c r="K226" i="324"/>
  <c r="K31" i="268"/>
  <c r="K215" i="324"/>
  <c r="K30" i="268"/>
  <c r="K204" i="324"/>
  <c r="K29" i="268" s="1"/>
  <c r="K193" i="324"/>
  <c r="K28" i="268" s="1"/>
  <c r="K182" i="324"/>
  <c r="K27" i="268"/>
  <c r="K171" i="324"/>
  <c r="K26" i="268" s="1"/>
  <c r="K160" i="324"/>
  <c r="K25" i="268" s="1"/>
  <c r="K149" i="324"/>
  <c r="K24" i="268"/>
  <c r="G303" i="324"/>
  <c r="H303" i="324"/>
  <c r="H38" i="268"/>
  <c r="F303" i="324"/>
  <c r="F38" i="268"/>
  <c r="E303" i="324"/>
  <c r="E38" i="268"/>
  <c r="D303" i="324"/>
  <c r="D38" i="268"/>
  <c r="G292" i="324"/>
  <c r="G37" i="268"/>
  <c r="H292" i="324"/>
  <c r="F292" i="324"/>
  <c r="F37" i="268"/>
  <c r="E292" i="324"/>
  <c r="E37" i="268"/>
  <c r="D292" i="324"/>
  <c r="D37" i="268"/>
  <c r="G281" i="324"/>
  <c r="G36" i="268"/>
  <c r="H281" i="324"/>
  <c r="H36" i="268"/>
  <c r="F281" i="324"/>
  <c r="F36" i="268"/>
  <c r="E281" i="324"/>
  <c r="E36" i="268"/>
  <c r="D281" i="324"/>
  <c r="D36" i="268"/>
  <c r="G270" i="324"/>
  <c r="G35" i="268"/>
  <c r="H270" i="324"/>
  <c r="F270" i="324"/>
  <c r="F35" i="268"/>
  <c r="E270" i="324"/>
  <c r="E35" i="268"/>
  <c r="D270" i="324"/>
  <c r="D35" i="268"/>
  <c r="G259" i="324"/>
  <c r="G34" i="268"/>
  <c r="H259" i="324"/>
  <c r="F259" i="324"/>
  <c r="F34" i="268"/>
  <c r="E259" i="324"/>
  <c r="E34" i="268"/>
  <c r="D259" i="324"/>
  <c r="D34" i="268"/>
  <c r="G248" i="324"/>
  <c r="H248" i="324"/>
  <c r="H33" i="268"/>
  <c r="F248" i="324"/>
  <c r="F33" i="268"/>
  <c r="E248" i="324"/>
  <c r="E33" i="268"/>
  <c r="D248" i="324"/>
  <c r="D33" i="268"/>
  <c r="G237" i="324"/>
  <c r="G32" i="268"/>
  <c r="H237" i="324"/>
  <c r="F237" i="324"/>
  <c r="F32" i="268"/>
  <c r="E237" i="324"/>
  <c r="E32" i="268"/>
  <c r="D237" i="324"/>
  <c r="D32" i="268"/>
  <c r="G226" i="324"/>
  <c r="G31" i="268"/>
  <c r="H226" i="324"/>
  <c r="H31" i="268"/>
  <c r="F226" i="324"/>
  <c r="F31" i="268"/>
  <c r="E226" i="324"/>
  <c r="E31" i="268"/>
  <c r="D226" i="324"/>
  <c r="D31" i="268"/>
  <c r="G215" i="324"/>
  <c r="H215" i="324"/>
  <c r="H30" i="268"/>
  <c r="F215" i="324"/>
  <c r="F30" i="268"/>
  <c r="E215" i="324"/>
  <c r="E30" i="268"/>
  <c r="D215" i="324"/>
  <c r="D30" i="268"/>
  <c r="G204" i="324"/>
  <c r="G29" i="268" s="1"/>
  <c r="H204" i="324"/>
  <c r="H29" i="268" s="1"/>
  <c r="F204" i="324"/>
  <c r="F29" i="268" s="1"/>
  <c r="E204" i="324"/>
  <c r="E29" i="268" s="1"/>
  <c r="D204" i="324"/>
  <c r="D29" i="268"/>
  <c r="G193" i="324"/>
  <c r="G28" i="268" s="1"/>
  <c r="H193" i="324"/>
  <c r="H28" i="268" s="1"/>
  <c r="F193" i="324"/>
  <c r="F28" i="268" s="1"/>
  <c r="E193" i="324"/>
  <c r="E28" i="268" s="1"/>
  <c r="D193" i="324"/>
  <c r="D28" i="268"/>
  <c r="G182" i="324"/>
  <c r="G27" i="268" s="1"/>
  <c r="H182" i="324"/>
  <c r="F182" i="324"/>
  <c r="F27" i="268" s="1"/>
  <c r="E182" i="324"/>
  <c r="E27" i="268"/>
  <c r="D182" i="324"/>
  <c r="D27" i="268"/>
  <c r="G171" i="324"/>
  <c r="G26" i="268" s="1"/>
  <c r="H171" i="324"/>
  <c r="H26" i="268" s="1"/>
  <c r="F171" i="324"/>
  <c r="F26" i="268" s="1"/>
  <c r="E171" i="324"/>
  <c r="E26" i="268" s="1"/>
  <c r="D171" i="324"/>
  <c r="D26" i="268"/>
  <c r="G160" i="324"/>
  <c r="G25" i="268" s="1"/>
  <c r="H160" i="324"/>
  <c r="H25" i="268" s="1"/>
  <c r="F160" i="324"/>
  <c r="F25" i="268" s="1"/>
  <c r="E160" i="324"/>
  <c r="E25" i="268" s="1"/>
  <c r="D160" i="324"/>
  <c r="D25" i="268"/>
  <c r="G149" i="324"/>
  <c r="H149" i="324"/>
  <c r="H24" i="268"/>
  <c r="F149" i="324"/>
  <c r="F24" i="268"/>
  <c r="E149" i="324"/>
  <c r="E24" i="268"/>
  <c r="D149" i="324"/>
  <c r="D24" i="268"/>
  <c r="C292" i="324"/>
  <c r="C37" i="268"/>
  <c r="C281" i="324"/>
  <c r="C36" i="268"/>
  <c r="C270" i="324"/>
  <c r="C35" i="268"/>
  <c r="C259" i="324"/>
  <c r="C34" i="268"/>
  <c r="C248" i="324"/>
  <c r="C33" i="268"/>
  <c r="C149" i="324"/>
  <c r="C24" i="268"/>
  <c r="C303" i="324"/>
  <c r="C38" i="268"/>
  <c r="C237" i="324"/>
  <c r="C32" i="268"/>
  <c r="C226" i="324"/>
  <c r="C31" i="268"/>
  <c r="C215" i="324"/>
  <c r="C30" i="268"/>
  <c r="C204" i="324"/>
  <c r="C29" i="268"/>
  <c r="C193" i="324"/>
  <c r="C28" i="268"/>
  <c r="C182" i="324"/>
  <c r="C27" i="268"/>
  <c r="C171" i="324"/>
  <c r="C26" i="268"/>
  <c r="C160" i="324"/>
  <c r="C25" i="268"/>
  <c r="K20" i="268"/>
  <c r="K19" i="268"/>
  <c r="K16" i="268"/>
  <c r="K15" i="268"/>
  <c r="K12" i="268"/>
  <c r="K35" i="324"/>
  <c r="K11" i="268"/>
  <c r="K29" i="324"/>
  <c r="K10" i="268"/>
  <c r="K23" i="324"/>
  <c r="K9" i="268"/>
  <c r="K18" i="324"/>
  <c r="K8" i="268"/>
  <c r="K12" i="324"/>
  <c r="K7" i="268" s="1"/>
  <c r="K7" i="324"/>
  <c r="K6" i="268" s="1"/>
  <c r="H20" i="268"/>
  <c r="F20" i="268"/>
  <c r="G19" i="268"/>
  <c r="F19" i="268"/>
  <c r="G18" i="268"/>
  <c r="F18" i="268"/>
  <c r="G17" i="268"/>
  <c r="D17" i="268"/>
  <c r="F16" i="268"/>
  <c r="G15" i="268"/>
  <c r="F15" i="268"/>
  <c r="G14" i="268"/>
  <c r="G13" i="268"/>
  <c r="F13" i="268"/>
  <c r="G12" i="268"/>
  <c r="F12" i="268"/>
  <c r="G35" i="324"/>
  <c r="G11" i="268" s="1"/>
  <c r="F35" i="324"/>
  <c r="F11" i="268" s="1"/>
  <c r="E35" i="324"/>
  <c r="E11" i="268"/>
  <c r="D35" i="324"/>
  <c r="D11" i="268"/>
  <c r="G29" i="324"/>
  <c r="F29" i="324"/>
  <c r="F10" i="268" s="1"/>
  <c r="E29" i="324"/>
  <c r="E10" i="268" s="1"/>
  <c r="D29" i="324"/>
  <c r="D10" i="268"/>
  <c r="G23" i="324"/>
  <c r="G9" i="268" s="1"/>
  <c r="F23" i="324"/>
  <c r="F9" i="268"/>
  <c r="E23" i="324"/>
  <c r="E9" i="268"/>
  <c r="D23" i="324"/>
  <c r="D9" i="268"/>
  <c r="G18" i="324"/>
  <c r="G8" i="268" s="1"/>
  <c r="F18" i="324"/>
  <c r="F8" i="268" s="1"/>
  <c r="E18" i="324"/>
  <c r="E8" i="268"/>
  <c r="D18" i="324"/>
  <c r="D8" i="268"/>
  <c r="G12" i="324"/>
  <c r="G7" i="268" s="1"/>
  <c r="F12" i="324"/>
  <c r="F7" i="268" s="1"/>
  <c r="E12" i="324"/>
  <c r="E7" i="268"/>
  <c r="D12" i="324"/>
  <c r="D7" i="268"/>
  <c r="G7" i="324"/>
  <c r="G6" i="268" s="1"/>
  <c r="F7" i="324"/>
  <c r="F6" i="268" s="1"/>
  <c r="E7" i="324"/>
  <c r="E6" i="268" s="1"/>
  <c r="D7" i="324"/>
  <c r="D6" i="268"/>
  <c r="C19" i="268"/>
  <c r="C18" i="268"/>
  <c r="C17" i="268"/>
  <c r="C15" i="268"/>
  <c r="C14" i="268"/>
  <c r="C13" i="268"/>
  <c r="C35" i="324"/>
  <c r="C11" i="268"/>
  <c r="C29" i="324"/>
  <c r="C10" i="268"/>
  <c r="C23" i="324"/>
  <c r="C9" i="268"/>
  <c r="C18" i="324"/>
  <c r="C8" i="268"/>
  <c r="C12" i="324"/>
  <c r="C7" i="268"/>
  <c r="C7" i="324"/>
  <c r="C6" i="268"/>
  <c r="D70" i="268"/>
  <c r="D74" i="268"/>
  <c r="E70" i="268"/>
  <c r="D29" i="267" s="1"/>
  <c r="D33" i="267" s="1"/>
  <c r="F70" i="268"/>
  <c r="F74" i="268" s="1"/>
  <c r="G70" i="268"/>
  <c r="H70" i="268"/>
  <c r="H74" i="268" s="1"/>
  <c r="C70" i="268"/>
  <c r="C74" i="268"/>
  <c r="A75" i="100"/>
  <c r="B82" i="100" s="1"/>
  <c r="C18" i="177"/>
  <c r="D13" i="242"/>
  <c r="D27" i="242"/>
  <c r="D69" i="242"/>
  <c r="D135" i="242"/>
  <c r="D148" i="242"/>
  <c r="E13" i="242"/>
  <c r="E27" i="242"/>
  <c r="E69" i="242"/>
  <c r="E135" i="242"/>
  <c r="E148" i="242"/>
  <c r="F13" i="242"/>
  <c r="F27" i="242"/>
  <c r="F69" i="242"/>
  <c r="F135" i="242"/>
  <c r="F148" i="242"/>
  <c r="G13" i="242"/>
  <c r="G27" i="242"/>
  <c r="I27" i="242" s="1"/>
  <c r="J27" i="242" s="1"/>
  <c r="G69" i="242"/>
  <c r="G135" i="242"/>
  <c r="G148" i="242"/>
  <c r="H13" i="242"/>
  <c r="H27" i="242"/>
  <c r="H69" i="242"/>
  <c r="H135" i="242"/>
  <c r="H148" i="242"/>
  <c r="K13" i="242"/>
  <c r="K27" i="242"/>
  <c r="K69" i="242"/>
  <c r="K135" i="242"/>
  <c r="C13" i="242"/>
  <c r="C27" i="242"/>
  <c r="C69" i="242"/>
  <c r="C135" i="242"/>
  <c r="C148" i="242"/>
  <c r="K35" i="272"/>
  <c r="K33" i="272"/>
  <c r="G38" i="272"/>
  <c r="F38" i="272"/>
  <c r="G37" i="272"/>
  <c r="H33" i="272"/>
  <c r="F33" i="272"/>
  <c r="K160" i="323"/>
  <c r="K20" i="272"/>
  <c r="K149" i="323"/>
  <c r="K19" i="272"/>
  <c r="K138" i="323"/>
  <c r="K18" i="272"/>
  <c r="K127" i="323"/>
  <c r="K17" i="272"/>
  <c r="K116" i="323"/>
  <c r="K16" i="272"/>
  <c r="K105" i="323"/>
  <c r="K15" i="272"/>
  <c r="K94" i="323"/>
  <c r="K14" i="272"/>
  <c r="G105" i="323"/>
  <c r="G15" i="272"/>
  <c r="I15" i="272"/>
  <c r="J15" i="272"/>
  <c r="H105" i="323"/>
  <c r="G116" i="323"/>
  <c r="G16" i="272"/>
  <c r="H116" i="323"/>
  <c r="H16" i="272"/>
  <c r="G127" i="323"/>
  <c r="G17" i="272"/>
  <c r="I17" i="272"/>
  <c r="J17" i="272"/>
  <c r="H127" i="323"/>
  <c r="H17" i="272"/>
  <c r="G138" i="323"/>
  <c r="H138" i="323"/>
  <c r="I138" i="323"/>
  <c r="J138" i="323"/>
  <c r="G149" i="323"/>
  <c r="G19" i="272"/>
  <c r="H149" i="323"/>
  <c r="I149" i="323"/>
  <c r="J149" i="323"/>
  <c r="G160" i="323"/>
  <c r="I160" i="323"/>
  <c r="J160" i="323"/>
  <c r="H160" i="323"/>
  <c r="F160" i="323"/>
  <c r="F20" i="272"/>
  <c r="E160" i="323"/>
  <c r="E20" i="272"/>
  <c r="D160" i="323"/>
  <c r="D20" i="272"/>
  <c r="F149" i="323"/>
  <c r="F19" i="272"/>
  <c r="E149" i="323"/>
  <c r="E19" i="272"/>
  <c r="D149" i="323"/>
  <c r="D19" i="272"/>
  <c r="F138" i="323"/>
  <c r="F18" i="272"/>
  <c r="E138" i="323"/>
  <c r="E18" i="272"/>
  <c r="D138" i="323"/>
  <c r="D18" i="272"/>
  <c r="F127" i="323"/>
  <c r="F17" i="272"/>
  <c r="E127" i="323"/>
  <c r="E17" i="272"/>
  <c r="D127" i="323"/>
  <c r="F116" i="323"/>
  <c r="F16" i="272"/>
  <c r="E116" i="323"/>
  <c r="E16" i="272"/>
  <c r="D116" i="323"/>
  <c r="D16" i="272"/>
  <c r="F105" i="323"/>
  <c r="F15" i="272"/>
  <c r="E105" i="323"/>
  <c r="E15" i="272"/>
  <c r="D105" i="323"/>
  <c r="D15" i="272"/>
  <c r="C160" i="323"/>
  <c r="C20" i="272"/>
  <c r="C149" i="323"/>
  <c r="C19" i="272"/>
  <c r="C138" i="323"/>
  <c r="C18" i="272"/>
  <c r="C127" i="323"/>
  <c r="C17" i="272"/>
  <c r="C116" i="323"/>
  <c r="C16" i="272"/>
  <c r="X36" i="329"/>
  <c r="B12" i="100"/>
  <c r="O3" i="317"/>
  <c r="F77" i="100"/>
  <c r="B27" i="322"/>
  <c r="B73" i="100"/>
  <c r="C7" i="330"/>
  <c r="C24" i="330"/>
  <c r="C9" i="241"/>
  <c r="C87" i="330"/>
  <c r="C18" i="241"/>
  <c r="C92" i="330"/>
  <c r="C19" i="241"/>
  <c r="C100" i="330"/>
  <c r="C104" i="330"/>
  <c r="C22" i="241"/>
  <c r="C108" i="330"/>
  <c r="C23" i="241"/>
  <c r="K7" i="330"/>
  <c r="K24" i="330"/>
  <c r="K9" i="241"/>
  <c r="K87" i="330"/>
  <c r="K18" i="241"/>
  <c r="K92" i="330"/>
  <c r="K19" i="241"/>
  <c r="K100" i="330"/>
  <c r="K21" i="241" s="1"/>
  <c r="K104" i="330"/>
  <c r="K22" i="241" s="1"/>
  <c r="K108" i="330"/>
  <c r="K23" i="241"/>
  <c r="K118" i="330"/>
  <c r="K25" i="241" s="1"/>
  <c r="K129" i="330"/>
  <c r="K177" i="330"/>
  <c r="K36" i="241" s="1"/>
  <c r="K189" i="330"/>
  <c r="K38" i="241" s="1"/>
  <c r="K198" i="330"/>
  <c r="K209" i="330"/>
  <c r="K41" i="241"/>
  <c r="K214" i="330"/>
  <c r="K42" i="241"/>
  <c r="K222" i="330"/>
  <c r="K44" i="241"/>
  <c r="K226" i="330"/>
  <c r="K45" i="241"/>
  <c r="K230" i="330"/>
  <c r="K46" i="241" s="1"/>
  <c r="K43" i="241" s="1"/>
  <c r="K240" i="330"/>
  <c r="K48" i="241"/>
  <c r="H7" i="330"/>
  <c r="H7" i="241" s="1"/>
  <c r="H24" i="330"/>
  <c r="H9" i="241"/>
  <c r="H92" i="330"/>
  <c r="H19" i="241" s="1"/>
  <c r="H100" i="330"/>
  <c r="H21" i="241" s="1"/>
  <c r="H129" i="330"/>
  <c r="H189" i="330"/>
  <c r="H38" i="241" s="1"/>
  <c r="H209" i="330"/>
  <c r="H41" i="241" s="1"/>
  <c r="H226" i="330"/>
  <c r="H45" i="241"/>
  <c r="G7" i="330"/>
  <c r="G7" i="241" s="1"/>
  <c r="G24" i="330"/>
  <c r="G87" i="330"/>
  <c r="G18" i="241" s="1"/>
  <c r="G92" i="330"/>
  <c r="G100" i="330"/>
  <c r="G21" i="241" s="1"/>
  <c r="G104" i="330"/>
  <c r="G22" i="241" s="1"/>
  <c r="G108" i="330"/>
  <c r="G118" i="330"/>
  <c r="G25" i="241" s="1"/>
  <c r="G129" i="330"/>
  <c r="G30" i="241" s="1"/>
  <c r="G177" i="330"/>
  <c r="G36" i="241" s="1"/>
  <c r="G189" i="330"/>
  <c r="I189" i="330" s="1"/>
  <c r="J189" i="330" s="1"/>
  <c r="G38" i="241"/>
  <c r="G198" i="330"/>
  <c r="G40" i="241" s="1"/>
  <c r="G209" i="330"/>
  <c r="G41" i="241" s="1"/>
  <c r="G214" i="330"/>
  <c r="G42" i="241" s="1"/>
  <c r="G222" i="330"/>
  <c r="G44" i="241" s="1"/>
  <c r="G226" i="330"/>
  <c r="G45" i="241" s="1"/>
  <c r="I45" i="241" s="1"/>
  <c r="J45" i="241" s="1"/>
  <c r="G230" i="330"/>
  <c r="G46" i="241" s="1"/>
  <c r="G240" i="330"/>
  <c r="F7" i="330"/>
  <c r="F6" i="330" s="1"/>
  <c r="F24" i="330"/>
  <c r="F87" i="330"/>
  <c r="F18" i="241" s="1"/>
  <c r="F92" i="330"/>
  <c r="F19" i="241" s="1"/>
  <c r="F100" i="330"/>
  <c r="F104" i="330"/>
  <c r="F22" i="241" s="1"/>
  <c r="F108" i="330"/>
  <c r="F23" i="241" s="1"/>
  <c r="F118" i="330"/>
  <c r="F25" i="241" s="1"/>
  <c r="F129" i="330"/>
  <c r="F30" i="241" s="1"/>
  <c r="F177" i="330"/>
  <c r="F36" i="241" s="1"/>
  <c r="F189" i="330"/>
  <c r="F38" i="241" s="1"/>
  <c r="F198" i="330"/>
  <c r="F40" i="241" s="1"/>
  <c r="F209" i="330"/>
  <c r="F41" i="241" s="1"/>
  <c r="F214" i="330"/>
  <c r="F42" i="241" s="1"/>
  <c r="F222" i="330"/>
  <c r="F44" i="241" s="1"/>
  <c r="F226" i="330"/>
  <c r="F45" i="241" s="1"/>
  <c r="F230" i="330"/>
  <c r="F46" i="241" s="1"/>
  <c r="F240" i="330"/>
  <c r="F48" i="241" s="1"/>
  <c r="E7" i="330"/>
  <c r="E7" i="241" s="1"/>
  <c r="E24" i="330"/>
  <c r="E9" i="241"/>
  <c r="E87" i="330"/>
  <c r="E18" i="241"/>
  <c r="E92" i="330"/>
  <c r="E19" i="241" s="1"/>
  <c r="E100" i="330"/>
  <c r="E21" i="241" s="1"/>
  <c r="E104" i="330"/>
  <c r="E108" i="330"/>
  <c r="E23" i="241" s="1"/>
  <c r="E118" i="330"/>
  <c r="E25" i="241"/>
  <c r="E129" i="330"/>
  <c r="E30" i="241" s="1"/>
  <c r="E177" i="330"/>
  <c r="E36" i="241" s="1"/>
  <c r="E189" i="330"/>
  <c r="E38" i="241" s="1"/>
  <c r="E198" i="330"/>
  <c r="E40" i="241" s="1"/>
  <c r="E209" i="330"/>
  <c r="E41" i="241" s="1"/>
  <c r="E214" i="330"/>
  <c r="E42" i="241" s="1"/>
  <c r="E222" i="330"/>
  <c r="E44" i="241" s="1"/>
  <c r="E226" i="330"/>
  <c r="E45" i="241"/>
  <c r="E230" i="330"/>
  <c r="E46" i="241" s="1"/>
  <c r="E240" i="330"/>
  <c r="E48" i="241" s="1"/>
  <c r="D7" i="330"/>
  <c r="D7" i="241"/>
  <c r="D24" i="330"/>
  <c r="D9" i="241"/>
  <c r="D87" i="330"/>
  <c r="D18" i="241"/>
  <c r="D92" i="330"/>
  <c r="D19" i="241"/>
  <c r="D100" i="330"/>
  <c r="D104" i="330"/>
  <c r="D22" i="241"/>
  <c r="D108" i="330"/>
  <c r="D23" i="241"/>
  <c r="D118" i="330"/>
  <c r="D25" i="241"/>
  <c r="D129" i="330"/>
  <c r="D32" i="241"/>
  <c r="D177" i="330"/>
  <c r="D189" i="330"/>
  <c r="D148" i="330" s="1"/>
  <c r="D247" i="330" s="1"/>
  <c r="D198" i="330"/>
  <c r="D40" i="241"/>
  <c r="D209" i="330"/>
  <c r="D41" i="241"/>
  <c r="D214" i="330"/>
  <c r="D42" i="241"/>
  <c r="D39" i="241"/>
  <c r="D222" i="330"/>
  <c r="D44" i="241"/>
  <c r="D226" i="330"/>
  <c r="D45" i="241"/>
  <c r="D230" i="330"/>
  <c r="D46" i="241"/>
  <c r="D240" i="330"/>
  <c r="D48" i="241"/>
  <c r="C240" i="330"/>
  <c r="C48" i="241"/>
  <c r="C230" i="330"/>
  <c r="C46" i="241"/>
  <c r="C226" i="330"/>
  <c r="C45" i="241"/>
  <c r="C222" i="330"/>
  <c r="C44" i="241"/>
  <c r="C214" i="330"/>
  <c r="C42" i="241"/>
  <c r="C209" i="330"/>
  <c r="C41" i="241"/>
  <c r="C198" i="330"/>
  <c r="C40" i="241"/>
  <c r="C189" i="330"/>
  <c r="C38" i="241"/>
  <c r="C177" i="330"/>
  <c r="C36" i="241"/>
  <c r="C129" i="330"/>
  <c r="C30" i="241"/>
  <c r="I246" i="330"/>
  <c r="J246" i="330" s="1"/>
  <c r="I244" i="330"/>
  <c r="J244" i="330" s="1"/>
  <c r="I242" i="330"/>
  <c r="J242" i="330" s="1"/>
  <c r="I239" i="330"/>
  <c r="J239" i="330" s="1"/>
  <c r="I234" i="330"/>
  <c r="J234" i="330" s="1"/>
  <c r="I231" i="330"/>
  <c r="J231" i="330" s="1"/>
  <c r="I227" i="330"/>
  <c r="J227" i="330" s="1"/>
  <c r="I225" i="330"/>
  <c r="J225" i="330" s="1"/>
  <c r="I220" i="330"/>
  <c r="J220" i="330" s="1"/>
  <c r="I216" i="330"/>
  <c r="J216" i="330" s="1"/>
  <c r="I213" i="330"/>
  <c r="J213" i="330" s="1"/>
  <c r="I210" i="330"/>
  <c r="J210" i="330" s="1"/>
  <c r="I199" i="330"/>
  <c r="J199" i="330" s="1"/>
  <c r="I196" i="330"/>
  <c r="J196" i="330" s="1"/>
  <c r="I195" i="330"/>
  <c r="J195" i="330" s="1"/>
  <c r="I190" i="330"/>
  <c r="J190" i="330" s="1"/>
  <c r="I185" i="330"/>
  <c r="J185" i="330" s="1"/>
  <c r="I182" i="330"/>
  <c r="J182" i="330" s="1"/>
  <c r="I181" i="330"/>
  <c r="J181" i="330" s="1"/>
  <c r="I178" i="330"/>
  <c r="J178" i="330" s="1"/>
  <c r="I131" i="330"/>
  <c r="J131" i="330" s="1"/>
  <c r="I130" i="330"/>
  <c r="J130" i="330" s="1"/>
  <c r="I124" i="330"/>
  <c r="J124" i="330" s="1"/>
  <c r="I123" i="330"/>
  <c r="J123" i="330" s="1"/>
  <c r="I122" i="330"/>
  <c r="J122" i="330" s="1"/>
  <c r="I120" i="330"/>
  <c r="J120" i="330" s="1"/>
  <c r="I119" i="330"/>
  <c r="J119" i="330" s="1"/>
  <c r="I116" i="330"/>
  <c r="J116" i="330" s="1"/>
  <c r="I112" i="330"/>
  <c r="J112" i="330" s="1"/>
  <c r="I110" i="330"/>
  <c r="J110" i="330" s="1"/>
  <c r="I109" i="330"/>
  <c r="J109" i="330" s="1"/>
  <c r="I107" i="330"/>
  <c r="J107" i="330" s="1"/>
  <c r="I105" i="330"/>
  <c r="J105" i="330" s="1"/>
  <c r="I103" i="330"/>
  <c r="J103" i="330" s="1"/>
  <c r="I101" i="330"/>
  <c r="J101" i="330" s="1"/>
  <c r="I98" i="330"/>
  <c r="J98" i="330" s="1"/>
  <c r="I97" i="330"/>
  <c r="J97" i="330" s="1"/>
  <c r="I93" i="330"/>
  <c r="J93" i="330" s="1"/>
  <c r="I91" i="330"/>
  <c r="J91" i="330" s="1"/>
  <c r="I90" i="330"/>
  <c r="J90" i="330" s="1"/>
  <c r="I89" i="330"/>
  <c r="J89" i="330" s="1"/>
  <c r="I86" i="330"/>
  <c r="J86" i="330" s="1"/>
  <c r="I85" i="330"/>
  <c r="J85" i="330" s="1"/>
  <c r="I84" i="330"/>
  <c r="J84" i="330" s="1"/>
  <c r="I74" i="330"/>
  <c r="J74" i="330"/>
  <c r="I73" i="330"/>
  <c r="J73" i="330"/>
  <c r="I72" i="330"/>
  <c r="J72" i="330"/>
  <c r="I63" i="330"/>
  <c r="J63" i="330" s="1"/>
  <c r="I48" i="330"/>
  <c r="J48" i="330" s="1"/>
  <c r="I46" i="330"/>
  <c r="J46" i="330" s="1"/>
  <c r="I44" i="330"/>
  <c r="J44" i="330" s="1"/>
  <c r="I42" i="330"/>
  <c r="J42" i="330" s="1"/>
  <c r="I25" i="330"/>
  <c r="J25" i="330"/>
  <c r="I9" i="330"/>
  <c r="J9" i="330" s="1"/>
  <c r="I8" i="330"/>
  <c r="J8" i="330" s="1"/>
  <c r="K3" i="330"/>
  <c r="J3" i="330"/>
  <c r="I3" i="330"/>
  <c r="H3" i="330"/>
  <c r="G3" i="330"/>
  <c r="F3" i="330"/>
  <c r="E3" i="330"/>
  <c r="D3" i="330"/>
  <c r="C3" i="330"/>
  <c r="E5" i="322"/>
  <c r="E2" i="322"/>
  <c r="B2" i="330"/>
  <c r="A2" i="330"/>
  <c r="A249" i="330"/>
  <c r="A248" i="330"/>
  <c r="A247" i="330"/>
  <c r="A246" i="330"/>
  <c r="A245" i="330"/>
  <c r="A244" i="330"/>
  <c r="A242" i="330"/>
  <c r="A241" i="330"/>
  <c r="A240" i="330"/>
  <c r="A235" i="330"/>
  <c r="A234" i="330"/>
  <c r="A232" i="330"/>
  <c r="A231" i="330"/>
  <c r="A230" i="330"/>
  <c r="A227" i="330"/>
  <c r="A226" i="330"/>
  <c r="A225" i="330"/>
  <c r="A223" i="330"/>
  <c r="A222" i="330"/>
  <c r="A221" i="330"/>
  <c r="A215" i="330"/>
  <c r="A214" i="330"/>
  <c r="A209" i="330"/>
  <c r="A198" i="330"/>
  <c r="A197" i="330"/>
  <c r="A189" i="330"/>
  <c r="A186" i="330"/>
  <c r="A185" i="330"/>
  <c r="A182" i="330"/>
  <c r="A181" i="330"/>
  <c r="A179" i="330"/>
  <c r="A178" i="330"/>
  <c r="A177" i="330"/>
  <c r="A171" i="330"/>
  <c r="A132" i="330"/>
  <c r="A131" i="330"/>
  <c r="A130" i="330"/>
  <c r="A129" i="330"/>
  <c r="A128" i="330"/>
  <c r="A125" i="330"/>
  <c r="F83" i="100"/>
  <c r="F82" i="100"/>
  <c r="F80" i="100"/>
  <c r="F78" i="100"/>
  <c r="F98" i="100"/>
  <c r="F97" i="100"/>
  <c r="F96" i="100"/>
  <c r="F95" i="100"/>
  <c r="B92" i="100"/>
  <c r="B89" i="100"/>
  <c r="B88" i="100"/>
  <c r="B87" i="100"/>
  <c r="B86" i="100"/>
  <c r="B85" i="100"/>
  <c r="B84" i="100"/>
  <c r="E98" i="100"/>
  <c r="E97" i="100"/>
  <c r="E96" i="100"/>
  <c r="F2" i="322"/>
  <c r="G2" i="322"/>
  <c r="H2" i="322"/>
  <c r="I2" i="322"/>
  <c r="J2" i="322"/>
  <c r="K2" i="322"/>
  <c r="L2" i="322"/>
  <c r="M2" i="322"/>
  <c r="N2" i="322"/>
  <c r="O2" i="322"/>
  <c r="F3" i="322"/>
  <c r="G3" i="322"/>
  <c r="H3" i="322"/>
  <c r="I3" i="322"/>
  <c r="J3" i="322"/>
  <c r="K3" i="322"/>
  <c r="L3" i="322"/>
  <c r="M3" i="322"/>
  <c r="N3" i="322"/>
  <c r="O3" i="322"/>
  <c r="B5" i="100"/>
  <c r="B47" i="100"/>
  <c r="F4" i="322"/>
  <c r="G4" i="322"/>
  <c r="H4" i="322"/>
  <c r="I4" i="322"/>
  <c r="J4" i="322"/>
  <c r="K4" i="322"/>
  <c r="L4" i="322"/>
  <c r="M4" i="322"/>
  <c r="N4" i="322"/>
  <c r="O4" i="322"/>
  <c r="F5" i="322"/>
  <c r="G5" i="322"/>
  <c r="H5" i="322"/>
  <c r="I5" i="322"/>
  <c r="J5" i="322"/>
  <c r="K5" i="322"/>
  <c r="L5" i="322"/>
  <c r="M5" i="322"/>
  <c r="N5" i="322"/>
  <c r="O5" i="322"/>
  <c r="F6" i="322"/>
  <c r="G6" i="322"/>
  <c r="H6" i="322"/>
  <c r="I6" i="322"/>
  <c r="J6" i="322"/>
  <c r="K6" i="322"/>
  <c r="L6" i="322"/>
  <c r="M6" i="322"/>
  <c r="N6" i="322"/>
  <c r="O6" i="322"/>
  <c r="F7" i="322"/>
  <c r="G7" i="322"/>
  <c r="H7" i="322"/>
  <c r="I7" i="322"/>
  <c r="J7" i="322"/>
  <c r="K7" i="322"/>
  <c r="L7" i="322"/>
  <c r="M7" i="322"/>
  <c r="N7" i="322"/>
  <c r="O7" i="322"/>
  <c r="E7" i="322"/>
  <c r="E6" i="322"/>
  <c r="E4" i="322"/>
  <c r="E3" i="322"/>
  <c r="K37" i="177"/>
  <c r="K39" i="177" s="1"/>
  <c r="H37" i="177"/>
  <c r="G45" i="267" s="1"/>
  <c r="G37" i="177"/>
  <c r="F37" i="177"/>
  <c r="E45" i="267"/>
  <c r="E37" i="177"/>
  <c r="D45" i="267"/>
  <c r="D37" i="177"/>
  <c r="C45" i="267"/>
  <c r="C37" i="177"/>
  <c r="B45" i="267"/>
  <c r="K28" i="177"/>
  <c r="J44" i="267" s="1"/>
  <c r="H28" i="177"/>
  <c r="G44" i="267" s="1"/>
  <c r="G28" i="177"/>
  <c r="F28" i="177"/>
  <c r="E44" i="267" s="1"/>
  <c r="E28" i="177"/>
  <c r="D44" i="267" s="1"/>
  <c r="C28" i="177"/>
  <c r="B44" i="267"/>
  <c r="K18" i="177"/>
  <c r="J43" i="267" s="1"/>
  <c r="G18" i="177"/>
  <c r="F43" i="267" s="1"/>
  <c r="F18" i="177"/>
  <c r="E43" i="267" s="1"/>
  <c r="E18" i="177"/>
  <c r="D43" i="267"/>
  <c r="E77" i="100"/>
  <c r="E46" i="267"/>
  <c r="G48" i="178"/>
  <c r="H49" i="174" s="1"/>
  <c r="J40" i="267"/>
  <c r="G40" i="178"/>
  <c r="J39" i="267" s="1"/>
  <c r="G35" i="178"/>
  <c r="H53" i="174"/>
  <c r="H14" i="174" s="1"/>
  <c r="G13" i="178"/>
  <c r="E48" i="178"/>
  <c r="D40" i="267" s="1"/>
  <c r="D48" i="178"/>
  <c r="C40" i="267"/>
  <c r="E40" i="178"/>
  <c r="D39" i="267" s="1"/>
  <c r="D40" i="178"/>
  <c r="C39" i="267"/>
  <c r="E35" i="178"/>
  <c r="D38" i="267" s="1"/>
  <c r="D35" i="178"/>
  <c r="C38" i="267"/>
  <c r="E13" i="178"/>
  <c r="D36" i="267" s="1"/>
  <c r="D13" i="178"/>
  <c r="C48" i="178"/>
  <c r="B40" i="267"/>
  <c r="C40" i="178"/>
  <c r="C35" i="178"/>
  <c r="B38" i="267"/>
  <c r="B37" i="267"/>
  <c r="C13" i="178"/>
  <c r="B36" i="267"/>
  <c r="J32" i="267"/>
  <c r="J31" i="267"/>
  <c r="G32" i="267"/>
  <c r="F32" i="267"/>
  <c r="E32" i="267"/>
  <c r="D32" i="267"/>
  <c r="C32" i="267"/>
  <c r="G31" i="267"/>
  <c r="F31" i="267"/>
  <c r="E31" i="267"/>
  <c r="D31" i="267"/>
  <c r="C31" i="267"/>
  <c r="B32" i="267"/>
  <c r="B31" i="267"/>
  <c r="J24" i="267"/>
  <c r="G24" i="267"/>
  <c r="F24" i="267"/>
  <c r="H24" i="267"/>
  <c r="E24" i="267"/>
  <c r="D24" i="267"/>
  <c r="C24" i="267"/>
  <c r="B24" i="267"/>
  <c r="J6" i="267"/>
  <c r="J9" i="267"/>
  <c r="J21" i="267"/>
  <c r="J22" i="267"/>
  <c r="G22" i="267"/>
  <c r="F22" i="267"/>
  <c r="E22" i="267"/>
  <c r="D22" i="267"/>
  <c r="C22" i="267"/>
  <c r="G21" i="267"/>
  <c r="F21" i="267"/>
  <c r="E21" i="267"/>
  <c r="D21" i="267"/>
  <c r="C21" i="267"/>
  <c r="B22" i="267"/>
  <c r="B21" i="267"/>
  <c r="G36" i="182"/>
  <c r="G45" i="174" s="1"/>
  <c r="F36" i="182"/>
  <c r="E36" i="182"/>
  <c r="E38" i="182" s="1"/>
  <c r="E42" i="182" s="1"/>
  <c r="E44" i="182" s="1"/>
  <c r="E46" i="182" s="1"/>
  <c r="E48" i="182" s="1"/>
  <c r="D36" i="182"/>
  <c r="C18" i="267"/>
  <c r="C36" i="182"/>
  <c r="F6" i="267"/>
  <c r="F9" i="267"/>
  <c r="G6" i="267"/>
  <c r="G9" i="267"/>
  <c r="I6" i="182"/>
  <c r="J6" i="182" s="1"/>
  <c r="I7" i="182"/>
  <c r="J7" i="182" s="1"/>
  <c r="I8" i="182"/>
  <c r="J8" i="182" s="1"/>
  <c r="I9" i="182"/>
  <c r="J9" i="182" s="1"/>
  <c r="I10" i="182"/>
  <c r="J10" i="182" s="1"/>
  <c r="I13" i="182"/>
  <c r="J13" i="182" s="1"/>
  <c r="I14" i="182"/>
  <c r="J14" i="182" s="1"/>
  <c r="I19" i="182"/>
  <c r="J19" i="182" s="1"/>
  <c r="E6" i="267"/>
  <c r="E9" i="267"/>
  <c r="D6" i="267"/>
  <c r="D9" i="267"/>
  <c r="C6" i="267"/>
  <c r="C9" i="267"/>
  <c r="B6" i="267"/>
  <c r="C38" i="182"/>
  <c r="C42" i="182"/>
  <c r="C44" i="182"/>
  <c r="C46" i="182"/>
  <c r="C48" i="182"/>
  <c r="D55" i="174"/>
  <c r="F3" i="267"/>
  <c r="I48" i="267"/>
  <c r="H48" i="267"/>
  <c r="G48" i="267"/>
  <c r="F48" i="267"/>
  <c r="E48" i="267"/>
  <c r="D48" i="267"/>
  <c r="C48" i="267"/>
  <c r="B48" i="267"/>
  <c r="J3" i="267"/>
  <c r="I3" i="267"/>
  <c r="H3" i="267"/>
  <c r="G3" i="267"/>
  <c r="E3" i="267"/>
  <c r="D3" i="267"/>
  <c r="C3" i="267"/>
  <c r="B3" i="267"/>
  <c r="A2" i="267"/>
  <c r="A49" i="267"/>
  <c r="A50" i="267"/>
  <c r="A51" i="267"/>
  <c r="C15" i="173"/>
  <c r="B52" i="267" s="1"/>
  <c r="D15" i="173"/>
  <c r="C52" i="267" s="1"/>
  <c r="E15" i="173"/>
  <c r="D52" i="267" s="1"/>
  <c r="F15" i="173"/>
  <c r="E52" i="267" s="1"/>
  <c r="G15" i="173"/>
  <c r="F52" i="267" s="1"/>
  <c r="H15" i="173"/>
  <c r="G52" i="267" s="1"/>
  <c r="I15" i="173"/>
  <c r="H52" i="267" s="1"/>
  <c r="J15" i="173"/>
  <c r="I52" i="267" s="1"/>
  <c r="K6" i="173"/>
  <c r="B104" i="172" s="1"/>
  <c r="K7" i="173"/>
  <c r="C104" i="172" s="1"/>
  <c r="K8" i="173"/>
  <c r="K9" i="173"/>
  <c r="E104" i="172" s="1"/>
  <c r="K10" i="173"/>
  <c r="F104" i="172" s="1"/>
  <c r="K11" i="173"/>
  <c r="G104" i="172" s="1"/>
  <c r="K12" i="173"/>
  <c r="H104" i="172" s="1"/>
  <c r="K13" i="173"/>
  <c r="I104" i="172" s="1"/>
  <c r="K14" i="173"/>
  <c r="J104" i="172" s="1"/>
  <c r="C14" i="175"/>
  <c r="B50" i="267"/>
  <c r="D14" i="175"/>
  <c r="C53" i="172" s="1"/>
  <c r="E14" i="175"/>
  <c r="D50" i="267"/>
  <c r="F14" i="175"/>
  <c r="E50" i="267" s="1"/>
  <c r="G14" i="175"/>
  <c r="F53" i="172" s="1"/>
  <c r="H14" i="175"/>
  <c r="G53" i="172" s="1"/>
  <c r="I14" i="175"/>
  <c r="H53" i="172" s="1"/>
  <c r="J14" i="175"/>
  <c r="I53" i="172"/>
  <c r="K40" i="177"/>
  <c r="B29" i="267"/>
  <c r="C6" i="323"/>
  <c r="C17" i="323"/>
  <c r="C7" i="272"/>
  <c r="C28" i="323"/>
  <c r="C8" i="272"/>
  <c r="C39" i="323"/>
  <c r="C9" i="272"/>
  <c r="C50" i="323"/>
  <c r="C10" i="272"/>
  <c r="C61" i="323"/>
  <c r="C11" i="272"/>
  <c r="C72" i="323"/>
  <c r="C83" i="323"/>
  <c r="C13" i="272"/>
  <c r="C94" i="323"/>
  <c r="C14" i="272"/>
  <c r="C105" i="323"/>
  <c r="C15" i="272"/>
  <c r="H6" i="323"/>
  <c r="H28" i="323"/>
  <c r="H8" i="272" s="1"/>
  <c r="H39" i="323"/>
  <c r="H9" i="272" s="1"/>
  <c r="H50" i="323"/>
  <c r="H10" i="272" s="1"/>
  <c r="H61" i="323"/>
  <c r="H11" i="272" s="1"/>
  <c r="H72" i="323"/>
  <c r="H12" i="272"/>
  <c r="H83" i="323"/>
  <c r="H13" i="272"/>
  <c r="H94" i="323"/>
  <c r="I94" i="323"/>
  <c r="J94" i="323"/>
  <c r="G6" i="323"/>
  <c r="G6" i="272" s="1"/>
  <c r="G17" i="323"/>
  <c r="G7" i="272" s="1"/>
  <c r="G39" i="323"/>
  <c r="G50" i="323"/>
  <c r="G10" i="272" s="1"/>
  <c r="G61" i="323"/>
  <c r="G11" i="272" s="1"/>
  <c r="G72" i="323"/>
  <c r="G12" i="272"/>
  <c r="I12" i="272"/>
  <c r="J12" i="272"/>
  <c r="G83" i="323"/>
  <c r="G13" i="272"/>
  <c r="I13" i="272"/>
  <c r="J13" i="272"/>
  <c r="G94" i="323"/>
  <c r="D6" i="323"/>
  <c r="D6" i="272"/>
  <c r="D17" i="323"/>
  <c r="D28" i="323"/>
  <c r="D39" i="323"/>
  <c r="D9" i="272"/>
  <c r="D50" i="323"/>
  <c r="D10" i="272"/>
  <c r="D61" i="323"/>
  <c r="D11" i="272"/>
  <c r="D72" i="323"/>
  <c r="D83" i="323"/>
  <c r="D13" i="272"/>
  <c r="D94" i="323"/>
  <c r="D14" i="272"/>
  <c r="E6" i="323"/>
  <c r="E6" i="272" s="1"/>
  <c r="E17" i="323"/>
  <c r="E28" i="323"/>
  <c r="E8" i="272" s="1"/>
  <c r="E39" i="323"/>
  <c r="E9" i="272"/>
  <c r="E50" i="323"/>
  <c r="E10" i="272"/>
  <c r="E61" i="323"/>
  <c r="E11" i="272"/>
  <c r="E72" i="323"/>
  <c r="E83" i="323"/>
  <c r="E13" i="272"/>
  <c r="E94" i="323"/>
  <c r="E14" i="272"/>
  <c r="F6" i="323"/>
  <c r="F17" i="323"/>
  <c r="F7" i="272" s="1"/>
  <c r="F8" i="272"/>
  <c r="F39" i="323"/>
  <c r="F9" i="272" s="1"/>
  <c r="F50" i="323"/>
  <c r="F10" i="272" s="1"/>
  <c r="F61" i="323"/>
  <c r="F11" i="272" s="1"/>
  <c r="F72" i="323"/>
  <c r="F12" i="272"/>
  <c r="F83" i="323"/>
  <c r="F13" i="272"/>
  <c r="F94" i="323"/>
  <c r="F14" i="272"/>
  <c r="K6" i="323"/>
  <c r="K6" i="272" s="1"/>
  <c r="K17" i="323"/>
  <c r="K7" i="272" s="1"/>
  <c r="K28" i="323"/>
  <c r="K8" i="272" s="1"/>
  <c r="K39" i="323"/>
  <c r="K9" i="272"/>
  <c r="K50" i="323"/>
  <c r="K10" i="272"/>
  <c r="K61" i="323"/>
  <c r="K11" i="272" s="1"/>
  <c r="K72" i="323"/>
  <c r="K12" i="272"/>
  <c r="K83" i="323"/>
  <c r="C3" i="241"/>
  <c r="A2" i="241"/>
  <c r="K3" i="241"/>
  <c r="J3" i="241"/>
  <c r="I3" i="241"/>
  <c r="H3" i="241"/>
  <c r="G3" i="241"/>
  <c r="F3" i="241"/>
  <c r="E3" i="241"/>
  <c r="D3" i="241"/>
  <c r="B2" i="241"/>
  <c r="A51" i="241"/>
  <c r="I340" i="323"/>
  <c r="J340" i="323"/>
  <c r="I338" i="323"/>
  <c r="J338" i="323"/>
  <c r="I337" i="323"/>
  <c r="J337" i="323"/>
  <c r="I336" i="323"/>
  <c r="J336" i="323"/>
  <c r="I335" i="323"/>
  <c r="J335" i="323"/>
  <c r="I334" i="323"/>
  <c r="J334" i="323"/>
  <c r="I333" i="323"/>
  <c r="J333" i="323"/>
  <c r="I332" i="323"/>
  <c r="J332" i="323"/>
  <c r="I331" i="323"/>
  <c r="J331" i="323"/>
  <c r="I330" i="323"/>
  <c r="J330" i="323"/>
  <c r="I329" i="323"/>
  <c r="J329" i="323"/>
  <c r="I328" i="323"/>
  <c r="J328" i="323"/>
  <c r="I327" i="323"/>
  <c r="J327" i="323"/>
  <c r="I326" i="323"/>
  <c r="J326" i="323"/>
  <c r="I325" i="323"/>
  <c r="J325" i="323"/>
  <c r="I324" i="323"/>
  <c r="J324" i="323"/>
  <c r="I323" i="323"/>
  <c r="J323" i="323"/>
  <c r="I322" i="323"/>
  <c r="J322" i="323"/>
  <c r="I321" i="323"/>
  <c r="J321" i="323"/>
  <c r="I320" i="323"/>
  <c r="J320" i="323"/>
  <c r="I319" i="323"/>
  <c r="J319" i="323"/>
  <c r="I318" i="323"/>
  <c r="J318" i="323"/>
  <c r="I316" i="323"/>
  <c r="J316" i="323"/>
  <c r="I315" i="323"/>
  <c r="J315" i="323"/>
  <c r="I314" i="323"/>
  <c r="J314" i="323"/>
  <c r="I313" i="323"/>
  <c r="J313" i="323"/>
  <c r="I312" i="323"/>
  <c r="J312" i="323"/>
  <c r="I311" i="323"/>
  <c r="J311" i="323"/>
  <c r="I310" i="323"/>
  <c r="J310" i="323"/>
  <c r="I309" i="323"/>
  <c r="J309" i="323"/>
  <c r="I308" i="323"/>
  <c r="J308" i="323"/>
  <c r="I307" i="323"/>
  <c r="J307" i="323"/>
  <c r="I305" i="323"/>
  <c r="J305" i="323"/>
  <c r="I304" i="323"/>
  <c r="J304" i="323"/>
  <c r="I303" i="323"/>
  <c r="J303" i="323"/>
  <c r="I302" i="323"/>
  <c r="J302" i="323"/>
  <c r="I301" i="323"/>
  <c r="J301" i="323"/>
  <c r="I300" i="323"/>
  <c r="J300" i="323"/>
  <c r="I299" i="323"/>
  <c r="J299" i="323"/>
  <c r="I298" i="323"/>
  <c r="J298" i="323"/>
  <c r="I297" i="323"/>
  <c r="J297" i="323"/>
  <c r="I296" i="323"/>
  <c r="J296" i="323"/>
  <c r="I294" i="323"/>
  <c r="J294" i="323"/>
  <c r="I293" i="323"/>
  <c r="J293" i="323"/>
  <c r="I292" i="323"/>
  <c r="J292" i="323"/>
  <c r="I291" i="323"/>
  <c r="J291" i="323"/>
  <c r="I290" i="323"/>
  <c r="J290" i="323"/>
  <c r="I289" i="323"/>
  <c r="J289" i="323"/>
  <c r="I288" i="323"/>
  <c r="J288" i="323"/>
  <c r="I287" i="323"/>
  <c r="J287" i="323"/>
  <c r="I286" i="323"/>
  <c r="J286" i="323"/>
  <c r="I285" i="323"/>
  <c r="J285" i="323"/>
  <c r="I283" i="323"/>
  <c r="J283" i="323"/>
  <c r="I282" i="323"/>
  <c r="J282" i="323"/>
  <c r="I281" i="323"/>
  <c r="J281" i="323"/>
  <c r="I280" i="323"/>
  <c r="J280" i="323"/>
  <c r="I279" i="323"/>
  <c r="J279" i="323"/>
  <c r="I278" i="323"/>
  <c r="J278" i="323"/>
  <c r="I277" i="323"/>
  <c r="J277" i="323"/>
  <c r="I276" i="323"/>
  <c r="J276" i="323"/>
  <c r="I275" i="323"/>
  <c r="J275" i="323"/>
  <c r="I274" i="323"/>
  <c r="J274" i="323"/>
  <c r="I272" i="323"/>
  <c r="J272" i="323"/>
  <c r="I271" i="323"/>
  <c r="J271" i="323"/>
  <c r="I270" i="323"/>
  <c r="J270" i="323"/>
  <c r="I269" i="323"/>
  <c r="J269" i="323"/>
  <c r="I268" i="323"/>
  <c r="J268" i="323"/>
  <c r="I267" i="323"/>
  <c r="J267" i="323"/>
  <c r="I266" i="323"/>
  <c r="J266" i="323"/>
  <c r="I265" i="323"/>
  <c r="J265" i="323"/>
  <c r="I264" i="323"/>
  <c r="J264" i="323"/>
  <c r="I263" i="323"/>
  <c r="J263" i="323"/>
  <c r="I261" i="323"/>
  <c r="J261" i="323"/>
  <c r="I260" i="323"/>
  <c r="J260" i="323"/>
  <c r="I259" i="323"/>
  <c r="J259" i="323"/>
  <c r="I258" i="323"/>
  <c r="J258" i="323"/>
  <c r="I257" i="323"/>
  <c r="J257" i="323"/>
  <c r="I256" i="323"/>
  <c r="J256" i="323"/>
  <c r="I255" i="323"/>
  <c r="J255" i="323"/>
  <c r="I254" i="323"/>
  <c r="J254" i="323"/>
  <c r="I253" i="323"/>
  <c r="J253" i="323"/>
  <c r="I252" i="323"/>
  <c r="J252" i="323"/>
  <c r="I250" i="323"/>
  <c r="J250" i="323"/>
  <c r="I249" i="323"/>
  <c r="J249" i="323"/>
  <c r="I248" i="323"/>
  <c r="J248" i="323"/>
  <c r="I247" i="323"/>
  <c r="J247" i="323"/>
  <c r="I246" i="323"/>
  <c r="J246" i="323"/>
  <c r="I245" i="323"/>
  <c r="J245" i="323"/>
  <c r="I244" i="323"/>
  <c r="J244" i="323"/>
  <c r="I243" i="323"/>
  <c r="J243" i="323"/>
  <c r="I242" i="323"/>
  <c r="J242" i="323"/>
  <c r="I241" i="323"/>
  <c r="J241" i="323"/>
  <c r="I240" i="323"/>
  <c r="J240" i="323"/>
  <c r="I239" i="323"/>
  <c r="J239" i="323"/>
  <c r="I238" i="323"/>
  <c r="J238" i="323"/>
  <c r="I237" i="323"/>
  <c r="J237" i="323"/>
  <c r="I236" i="323"/>
  <c r="J236" i="323"/>
  <c r="I235" i="323"/>
  <c r="J235" i="323"/>
  <c r="I234" i="323"/>
  <c r="J234" i="323" s="1"/>
  <c r="I233" i="323"/>
  <c r="J233" i="323" s="1"/>
  <c r="I232" i="323"/>
  <c r="J232" i="323" s="1"/>
  <c r="I231" i="323"/>
  <c r="J231" i="323" s="1"/>
  <c r="I230" i="323"/>
  <c r="J230" i="323" s="1"/>
  <c r="I228" i="323"/>
  <c r="J228" i="323"/>
  <c r="I227" i="323"/>
  <c r="J227" i="323"/>
  <c r="I226" i="323"/>
  <c r="J226" i="323"/>
  <c r="I225" i="323"/>
  <c r="J225" i="323"/>
  <c r="I224" i="323"/>
  <c r="J224" i="323"/>
  <c r="I223" i="323"/>
  <c r="J223" i="323" s="1"/>
  <c r="I222" i="323"/>
  <c r="J222" i="323" s="1"/>
  <c r="I221" i="323"/>
  <c r="J221" i="323" s="1"/>
  <c r="I220" i="323"/>
  <c r="J220" i="323" s="1"/>
  <c r="I219" i="323"/>
  <c r="J219" i="323" s="1"/>
  <c r="I217" i="323"/>
  <c r="J217" i="323"/>
  <c r="I216" i="323"/>
  <c r="J216" i="323"/>
  <c r="I215" i="323"/>
  <c r="J215" i="323"/>
  <c r="I214" i="323"/>
  <c r="J214" i="323"/>
  <c r="I213" i="323"/>
  <c r="J213" i="323"/>
  <c r="I212" i="323"/>
  <c r="J212" i="323" s="1"/>
  <c r="I211" i="323"/>
  <c r="J211" i="323" s="1"/>
  <c r="I210" i="323"/>
  <c r="J210" i="323" s="1"/>
  <c r="I209" i="323"/>
  <c r="J209" i="323" s="1"/>
  <c r="I208" i="323"/>
  <c r="J208" i="323" s="1"/>
  <c r="I206" i="323"/>
  <c r="J206" i="323"/>
  <c r="I205" i="323"/>
  <c r="J205" i="323"/>
  <c r="I204" i="323"/>
  <c r="J204" i="323"/>
  <c r="I203" i="323"/>
  <c r="J203" i="323"/>
  <c r="I202" i="323"/>
  <c r="J202" i="323"/>
  <c r="I201" i="323"/>
  <c r="J201" i="323"/>
  <c r="I200" i="323"/>
  <c r="J200" i="323" s="1"/>
  <c r="I199" i="323"/>
  <c r="J199" i="323" s="1"/>
  <c r="I197" i="323"/>
  <c r="J197" i="323" s="1"/>
  <c r="I195" i="323"/>
  <c r="J195" i="323"/>
  <c r="I194" i="323"/>
  <c r="J194" i="323"/>
  <c r="I193" i="323"/>
  <c r="J193" i="323"/>
  <c r="I192" i="323"/>
  <c r="J192" i="323"/>
  <c r="I191" i="323"/>
  <c r="J191" i="323"/>
  <c r="I190" i="323"/>
  <c r="J190" i="323" s="1"/>
  <c r="I189" i="323"/>
  <c r="J189" i="323" s="1"/>
  <c r="I188" i="323"/>
  <c r="J188" i="323" s="1"/>
  <c r="I187" i="323"/>
  <c r="J187" i="323" s="1"/>
  <c r="I184" i="323"/>
  <c r="J184" i="323"/>
  <c r="I183" i="323"/>
  <c r="J183" i="323"/>
  <c r="I182" i="323"/>
  <c r="J182" i="323"/>
  <c r="I181" i="323"/>
  <c r="J181" i="323"/>
  <c r="I180" i="323"/>
  <c r="J180" i="323"/>
  <c r="I179" i="323"/>
  <c r="J179" i="323"/>
  <c r="I178" i="323"/>
  <c r="J178" i="323" s="1"/>
  <c r="I177" i="323"/>
  <c r="J177" i="323" s="1"/>
  <c r="I176" i="323"/>
  <c r="J176" i="323" s="1"/>
  <c r="I175" i="323"/>
  <c r="J175" i="323" s="1"/>
  <c r="I173" i="323"/>
  <c r="J173" i="323"/>
  <c r="I172" i="323"/>
  <c r="J172" i="323"/>
  <c r="I170" i="323"/>
  <c r="J170" i="323"/>
  <c r="I169" i="323"/>
  <c r="J169" i="323"/>
  <c r="I168" i="323"/>
  <c r="J168" i="323"/>
  <c r="I167" i="323"/>
  <c r="J167" i="323"/>
  <c r="I166" i="323"/>
  <c r="J166" i="323"/>
  <c r="I165" i="323"/>
  <c r="J165" i="323"/>
  <c r="I164" i="323"/>
  <c r="J164" i="323"/>
  <c r="I163" i="323"/>
  <c r="J163" i="323"/>
  <c r="I162" i="323"/>
  <c r="J162" i="323"/>
  <c r="I161" i="323"/>
  <c r="J161" i="323"/>
  <c r="I159" i="323"/>
  <c r="J159" i="323"/>
  <c r="I158" i="323"/>
  <c r="J158" i="323"/>
  <c r="I157" i="323"/>
  <c r="J157" i="323"/>
  <c r="I156" i="323"/>
  <c r="J156" i="323"/>
  <c r="I155" i="323"/>
  <c r="J155" i="323"/>
  <c r="I154" i="323"/>
  <c r="J154" i="323"/>
  <c r="I153" i="323"/>
  <c r="J153" i="323"/>
  <c r="I152" i="323"/>
  <c r="J152" i="323"/>
  <c r="I151" i="323"/>
  <c r="J151" i="323"/>
  <c r="I150" i="323"/>
  <c r="J150" i="323"/>
  <c r="I148" i="323"/>
  <c r="J148" i="323"/>
  <c r="I147" i="323"/>
  <c r="J147" i="323"/>
  <c r="I146" i="323"/>
  <c r="J146" i="323"/>
  <c r="I145" i="323"/>
  <c r="J145" i="323"/>
  <c r="I144" i="323"/>
  <c r="J144" i="323"/>
  <c r="I143" i="323"/>
  <c r="J143" i="323"/>
  <c r="I142" i="323"/>
  <c r="J142" i="323"/>
  <c r="I141" i="323"/>
  <c r="J141" i="323"/>
  <c r="I140" i="323"/>
  <c r="J140" i="323"/>
  <c r="I139" i="323"/>
  <c r="J139" i="323"/>
  <c r="I137" i="323"/>
  <c r="J137" i="323"/>
  <c r="I136" i="323"/>
  <c r="J136" i="323"/>
  <c r="I135" i="323"/>
  <c r="J135" i="323"/>
  <c r="I134" i="323"/>
  <c r="J134" i="323"/>
  <c r="I133" i="323"/>
  <c r="J133" i="323"/>
  <c r="I132" i="323"/>
  <c r="J132" i="323"/>
  <c r="I131" i="323"/>
  <c r="J131" i="323"/>
  <c r="I130" i="323"/>
  <c r="J130" i="323"/>
  <c r="I129" i="323"/>
  <c r="J129" i="323"/>
  <c r="I128" i="323"/>
  <c r="J128" i="323"/>
  <c r="I127" i="323"/>
  <c r="J127" i="323"/>
  <c r="I126" i="323"/>
  <c r="J126" i="323"/>
  <c r="I125" i="323"/>
  <c r="J125" i="323"/>
  <c r="I124" i="323"/>
  <c r="J124" i="323"/>
  <c r="I123" i="323"/>
  <c r="J123" i="323"/>
  <c r="I122" i="323"/>
  <c r="J122" i="323"/>
  <c r="I121" i="323"/>
  <c r="J121" i="323"/>
  <c r="I120" i="323"/>
  <c r="J120" i="323"/>
  <c r="I119" i="323"/>
  <c r="J119" i="323"/>
  <c r="I118" i="323"/>
  <c r="J118" i="323"/>
  <c r="I117" i="323"/>
  <c r="J117" i="323"/>
  <c r="I115" i="323"/>
  <c r="J115" i="323"/>
  <c r="I114" i="323"/>
  <c r="J114" i="323"/>
  <c r="I113" i="323"/>
  <c r="J113" i="323"/>
  <c r="I112" i="323"/>
  <c r="J112" i="323"/>
  <c r="I111" i="323"/>
  <c r="J111" i="323"/>
  <c r="I110" i="323"/>
  <c r="J110" i="323"/>
  <c r="I109" i="323"/>
  <c r="J109" i="323"/>
  <c r="I108" i="323"/>
  <c r="J108" i="323"/>
  <c r="I107" i="323"/>
  <c r="J107" i="323"/>
  <c r="I106" i="323"/>
  <c r="J106" i="323"/>
  <c r="I104" i="323"/>
  <c r="J104" i="323"/>
  <c r="I103" i="323"/>
  <c r="J103" i="323"/>
  <c r="I102" i="323"/>
  <c r="J102" i="323"/>
  <c r="I101" i="323"/>
  <c r="J101" i="323"/>
  <c r="I100" i="323"/>
  <c r="J100" i="323"/>
  <c r="I99" i="323"/>
  <c r="J99" i="323"/>
  <c r="I98" i="323"/>
  <c r="J98" i="323"/>
  <c r="I97" i="323"/>
  <c r="J97" i="323"/>
  <c r="I96" i="323"/>
  <c r="J96" i="323"/>
  <c r="I95" i="323"/>
  <c r="J95" i="323"/>
  <c r="I93" i="323"/>
  <c r="J93" i="323"/>
  <c r="I92" i="323"/>
  <c r="J92" i="323"/>
  <c r="I91" i="323"/>
  <c r="J91" i="323"/>
  <c r="I90" i="323"/>
  <c r="J90" i="323"/>
  <c r="I89" i="323"/>
  <c r="J89" i="323"/>
  <c r="I88" i="323"/>
  <c r="J88" i="323"/>
  <c r="I87" i="323"/>
  <c r="J87" i="323"/>
  <c r="I86" i="323"/>
  <c r="J86" i="323"/>
  <c r="I85" i="323"/>
  <c r="J85" i="323"/>
  <c r="I84" i="323"/>
  <c r="J84" i="323"/>
  <c r="I82" i="323"/>
  <c r="J82" i="323"/>
  <c r="I81" i="323"/>
  <c r="J81" i="323"/>
  <c r="I80" i="323"/>
  <c r="J80" i="323"/>
  <c r="I79" i="323"/>
  <c r="J79" i="323"/>
  <c r="I78" i="323"/>
  <c r="J78" i="323"/>
  <c r="I77" i="323"/>
  <c r="J77" i="323"/>
  <c r="I76" i="323"/>
  <c r="J76" i="323"/>
  <c r="I75" i="323"/>
  <c r="J75" i="323"/>
  <c r="I74" i="323"/>
  <c r="J74" i="323"/>
  <c r="I73" i="323"/>
  <c r="J73" i="323"/>
  <c r="I71" i="323"/>
  <c r="J71" i="323"/>
  <c r="I70" i="323"/>
  <c r="J70" i="323"/>
  <c r="I69" i="323"/>
  <c r="J69" i="323"/>
  <c r="I68" i="323"/>
  <c r="J68" i="323"/>
  <c r="I67" i="323"/>
  <c r="J67" i="323"/>
  <c r="I66" i="323"/>
  <c r="J66" i="323" s="1"/>
  <c r="I65" i="323"/>
  <c r="J65" i="323" s="1"/>
  <c r="I64" i="323"/>
  <c r="J64" i="323" s="1"/>
  <c r="I63" i="323"/>
  <c r="J63" i="323" s="1"/>
  <c r="I62" i="323"/>
  <c r="J62" i="323" s="1"/>
  <c r="I60" i="323"/>
  <c r="J60" i="323"/>
  <c r="I59" i="323"/>
  <c r="J59" i="323"/>
  <c r="I58" i="323"/>
  <c r="J58" i="323"/>
  <c r="I57" i="323"/>
  <c r="J57" i="323"/>
  <c r="I56" i="323"/>
  <c r="J56" i="323"/>
  <c r="I55" i="323"/>
  <c r="J55" i="323" s="1"/>
  <c r="I54" i="323"/>
  <c r="J54" i="323" s="1"/>
  <c r="I53" i="323"/>
  <c r="J53" i="323" s="1"/>
  <c r="I52" i="323"/>
  <c r="J52" i="323" s="1"/>
  <c r="I51" i="323"/>
  <c r="J51" i="323" s="1"/>
  <c r="I49" i="323"/>
  <c r="J49" i="323"/>
  <c r="I48" i="323"/>
  <c r="J48" i="323"/>
  <c r="I47" i="323"/>
  <c r="J47" i="323"/>
  <c r="I46" i="323"/>
  <c r="J46" i="323"/>
  <c r="I45" i="323"/>
  <c r="J45" i="323"/>
  <c r="I44" i="323"/>
  <c r="J44" i="323" s="1"/>
  <c r="I43" i="323"/>
  <c r="J43" i="323" s="1"/>
  <c r="I42" i="323"/>
  <c r="J42" i="323" s="1"/>
  <c r="I41" i="323"/>
  <c r="J41" i="323" s="1"/>
  <c r="I40" i="323"/>
  <c r="J40" i="323" s="1"/>
  <c r="I38" i="323"/>
  <c r="J38" i="323"/>
  <c r="I37" i="323"/>
  <c r="J37" i="323"/>
  <c r="I36" i="323"/>
  <c r="J36" i="323"/>
  <c r="I35" i="323"/>
  <c r="J35" i="323"/>
  <c r="I34" i="323"/>
  <c r="J34" i="323"/>
  <c r="I33" i="323"/>
  <c r="J33" i="323" s="1"/>
  <c r="I32" i="323"/>
  <c r="J32" i="323" s="1"/>
  <c r="I31" i="323"/>
  <c r="J31" i="323" s="1"/>
  <c r="I30" i="323"/>
  <c r="J30" i="323" s="1"/>
  <c r="I29" i="323"/>
  <c r="J29" i="323" s="1"/>
  <c r="I27" i="323"/>
  <c r="J27" i="323"/>
  <c r="I26" i="323"/>
  <c r="J26" i="323"/>
  <c r="I25" i="323"/>
  <c r="J25" i="323"/>
  <c r="I24" i="323"/>
  <c r="J24" i="323"/>
  <c r="I23" i="323"/>
  <c r="J23" i="323"/>
  <c r="I22" i="323"/>
  <c r="J22" i="323" s="1"/>
  <c r="I21" i="323"/>
  <c r="J21" i="323" s="1"/>
  <c r="I20" i="323"/>
  <c r="J20" i="323" s="1"/>
  <c r="I19" i="323"/>
  <c r="J19" i="323" s="1"/>
  <c r="I18" i="323"/>
  <c r="J18" i="323" s="1"/>
  <c r="I16" i="323"/>
  <c r="J16" i="323"/>
  <c r="I15" i="323"/>
  <c r="J15" i="323"/>
  <c r="I14" i="323"/>
  <c r="J14" i="323"/>
  <c r="I13" i="323"/>
  <c r="J13" i="323"/>
  <c r="I12" i="323"/>
  <c r="J12" i="323"/>
  <c r="I11" i="323"/>
  <c r="J11" i="323"/>
  <c r="I10" i="323"/>
  <c r="J10" i="323" s="1"/>
  <c r="I9" i="323"/>
  <c r="J9" i="323" s="1"/>
  <c r="I8" i="323"/>
  <c r="J8" i="323" s="1"/>
  <c r="I7" i="323"/>
  <c r="J7" i="323" s="1"/>
  <c r="K3" i="323"/>
  <c r="J3" i="323"/>
  <c r="I3" i="323"/>
  <c r="H3" i="323"/>
  <c r="G3" i="323"/>
  <c r="F3" i="323"/>
  <c r="E3" i="323"/>
  <c r="D3" i="323"/>
  <c r="C3" i="323"/>
  <c r="A342" i="323"/>
  <c r="W170" i="323"/>
  <c r="W338" i="323"/>
  <c r="V170" i="323"/>
  <c r="V338" i="323"/>
  <c r="V340" i="323"/>
  <c r="U170" i="323"/>
  <c r="U338" i="323"/>
  <c r="U340" i="323"/>
  <c r="T170" i="323"/>
  <c r="T338" i="323"/>
  <c r="S170" i="323"/>
  <c r="S338" i="323"/>
  <c r="S340" i="323"/>
  <c r="R170" i="323"/>
  <c r="R338" i="323"/>
  <c r="Q170" i="323"/>
  <c r="Q338" i="323"/>
  <c r="Q340" i="323"/>
  <c r="P170" i="323"/>
  <c r="P338" i="323"/>
  <c r="O170" i="323"/>
  <c r="O338" i="323"/>
  <c r="N170" i="323"/>
  <c r="N338" i="323"/>
  <c r="N340" i="323"/>
  <c r="M170" i="323"/>
  <c r="M338" i="323"/>
  <c r="M340" i="323"/>
  <c r="L170" i="323"/>
  <c r="L338" i="323"/>
  <c r="A341" i="323"/>
  <c r="W3" i="323"/>
  <c r="V3" i="323"/>
  <c r="U3" i="323"/>
  <c r="T3" i="323"/>
  <c r="S3" i="323"/>
  <c r="R3" i="323"/>
  <c r="Q3" i="323"/>
  <c r="P3" i="323"/>
  <c r="O3" i="323"/>
  <c r="N3" i="323"/>
  <c r="M3" i="323"/>
  <c r="L3" i="323"/>
  <c r="L2" i="323"/>
  <c r="B2" i="323"/>
  <c r="A2" i="323"/>
  <c r="B106" i="100"/>
  <c r="A101" i="172"/>
  <c r="K13" i="272"/>
  <c r="F6" i="272"/>
  <c r="D12" i="272"/>
  <c r="G27" i="272"/>
  <c r="G28" i="272"/>
  <c r="G29" i="272"/>
  <c r="G30" i="272"/>
  <c r="I30" i="272"/>
  <c r="J30" i="272"/>
  <c r="G31" i="272"/>
  <c r="G32" i="272"/>
  <c r="I32" i="272"/>
  <c r="J32" i="272"/>
  <c r="H32" i="272"/>
  <c r="K27" i="272"/>
  <c r="K30" i="272"/>
  <c r="K32" i="272"/>
  <c r="E24" i="272"/>
  <c r="E28" i="272"/>
  <c r="E30" i="272"/>
  <c r="D24" i="272"/>
  <c r="D25" i="272"/>
  <c r="D26" i="272"/>
  <c r="D27" i="272"/>
  <c r="D30" i="272"/>
  <c r="C24" i="272"/>
  <c r="C32" i="272"/>
  <c r="C31" i="272"/>
  <c r="C30" i="272"/>
  <c r="C29" i="272"/>
  <c r="C26" i="272"/>
  <c r="C12" i="272"/>
  <c r="E78" i="100"/>
  <c r="B78" i="100"/>
  <c r="C3" i="272"/>
  <c r="A2" i="272"/>
  <c r="B2" i="272"/>
  <c r="F3" i="272"/>
  <c r="E3" i="272"/>
  <c r="D3" i="272"/>
  <c r="K3" i="272"/>
  <c r="J3" i="272"/>
  <c r="I3" i="272"/>
  <c r="H3" i="272"/>
  <c r="G3" i="272"/>
  <c r="A40" i="272"/>
  <c r="A41" i="272"/>
  <c r="E80" i="100"/>
  <c r="B80" i="100"/>
  <c r="E53" i="182"/>
  <c r="A53" i="182"/>
  <c r="I43" i="182"/>
  <c r="J43" i="182"/>
  <c r="I35" i="182"/>
  <c r="J35" i="182" s="1"/>
  <c r="I34" i="182"/>
  <c r="J34" i="182" s="1"/>
  <c r="I32" i="182"/>
  <c r="J32" i="182" s="1"/>
  <c r="I31" i="182"/>
  <c r="J31" i="182" s="1"/>
  <c r="I28" i="182"/>
  <c r="J28" i="182" s="1"/>
  <c r="I26" i="182"/>
  <c r="J26" i="182" s="1"/>
  <c r="I25" i="182"/>
  <c r="J25" i="182" s="1"/>
  <c r="I21" i="182"/>
  <c r="J21" i="182"/>
  <c r="I20" i="182"/>
  <c r="J20" i="182" s="1"/>
  <c r="I18" i="182"/>
  <c r="J18" i="182" s="1"/>
  <c r="I17" i="182"/>
  <c r="J17" i="182" s="1"/>
  <c r="I16" i="182"/>
  <c r="J16" i="182" s="1"/>
  <c r="I15" i="182"/>
  <c r="J15" i="182"/>
  <c r="I12" i="182"/>
  <c r="J12" i="182" s="1"/>
  <c r="A49" i="182"/>
  <c r="K3" i="182"/>
  <c r="J3" i="182"/>
  <c r="I3" i="182"/>
  <c r="H3" i="182"/>
  <c r="G3" i="182"/>
  <c r="F3" i="182"/>
  <c r="E3" i="182"/>
  <c r="D3" i="182"/>
  <c r="C3" i="182"/>
  <c r="B2" i="182"/>
  <c r="A2" i="182"/>
  <c r="A317" i="324"/>
  <c r="W313" i="324"/>
  <c r="V313" i="324"/>
  <c r="U313" i="324"/>
  <c r="T313" i="324"/>
  <c r="S313" i="324"/>
  <c r="R313" i="324"/>
  <c r="Q313" i="324"/>
  <c r="P313" i="324"/>
  <c r="O313" i="324"/>
  <c r="N313" i="324"/>
  <c r="M313" i="324"/>
  <c r="L313" i="324"/>
  <c r="I315" i="324"/>
  <c r="J315" i="324"/>
  <c r="I313" i="324"/>
  <c r="J313" i="324"/>
  <c r="I312" i="324"/>
  <c r="J312" i="324"/>
  <c r="I311" i="324"/>
  <c r="J311" i="324"/>
  <c r="I310" i="324"/>
  <c r="J310" i="324"/>
  <c r="I309" i="324"/>
  <c r="J309" i="324"/>
  <c r="I308" i="324"/>
  <c r="J308" i="324"/>
  <c r="I307" i="324"/>
  <c r="J307" i="324"/>
  <c r="I306" i="324"/>
  <c r="J306" i="324"/>
  <c r="I305" i="324"/>
  <c r="J305" i="324"/>
  <c r="I304" i="324"/>
  <c r="J304" i="324"/>
  <c r="I302" i="324"/>
  <c r="J302" i="324"/>
  <c r="I301" i="324"/>
  <c r="J301" i="324"/>
  <c r="I300" i="324"/>
  <c r="J300" i="324"/>
  <c r="I299" i="324"/>
  <c r="J299" i="324"/>
  <c r="I298" i="324"/>
  <c r="J298" i="324"/>
  <c r="I297" i="324"/>
  <c r="J297" i="324"/>
  <c r="I296" i="324"/>
  <c r="J296" i="324"/>
  <c r="I295" i="324"/>
  <c r="J295" i="324"/>
  <c r="I294" i="324"/>
  <c r="J294" i="324"/>
  <c r="I293" i="324"/>
  <c r="J293" i="324"/>
  <c r="I291" i="324"/>
  <c r="J291" i="324"/>
  <c r="I290" i="324"/>
  <c r="J290" i="324"/>
  <c r="I289" i="324"/>
  <c r="J289" i="324"/>
  <c r="I288" i="324"/>
  <c r="J288" i="324"/>
  <c r="I287" i="324"/>
  <c r="J287" i="324"/>
  <c r="I286" i="324"/>
  <c r="J286" i="324"/>
  <c r="I285" i="324"/>
  <c r="J285" i="324"/>
  <c r="I284" i="324"/>
  <c r="J284" i="324"/>
  <c r="I283" i="324"/>
  <c r="J283" i="324"/>
  <c r="I282" i="324"/>
  <c r="J282" i="324"/>
  <c r="I280" i="324"/>
  <c r="J280" i="324"/>
  <c r="I279" i="324"/>
  <c r="J279" i="324"/>
  <c r="I278" i="324"/>
  <c r="J278" i="324"/>
  <c r="I277" i="324"/>
  <c r="J277" i="324"/>
  <c r="I276" i="324"/>
  <c r="J276" i="324"/>
  <c r="I275" i="324"/>
  <c r="J275" i="324"/>
  <c r="I274" i="324"/>
  <c r="J274" i="324"/>
  <c r="I273" i="324"/>
  <c r="J273" i="324"/>
  <c r="I272" i="324"/>
  <c r="J272" i="324"/>
  <c r="I271" i="324"/>
  <c r="J271" i="324"/>
  <c r="I269" i="324"/>
  <c r="J269" i="324"/>
  <c r="I268" i="324"/>
  <c r="J268" i="324"/>
  <c r="I267" i="324"/>
  <c r="J267" i="324"/>
  <c r="I266" i="324"/>
  <c r="J266" i="324"/>
  <c r="I265" i="324"/>
  <c r="J265" i="324"/>
  <c r="I264" i="324"/>
  <c r="J264" i="324"/>
  <c r="I263" i="324"/>
  <c r="J263" i="324"/>
  <c r="I262" i="324"/>
  <c r="J262" i="324"/>
  <c r="I261" i="324"/>
  <c r="J261" i="324"/>
  <c r="I260" i="324"/>
  <c r="J260" i="324"/>
  <c r="I258" i="324"/>
  <c r="J258" i="324"/>
  <c r="I257" i="324"/>
  <c r="J257" i="324"/>
  <c r="I256" i="324"/>
  <c r="J256" i="324"/>
  <c r="I255" i="324"/>
  <c r="J255" i="324"/>
  <c r="I254" i="324"/>
  <c r="J254" i="324"/>
  <c r="I253" i="324"/>
  <c r="J253" i="324"/>
  <c r="I252" i="324"/>
  <c r="J252" i="324"/>
  <c r="I251" i="324"/>
  <c r="J251" i="324"/>
  <c r="I250" i="324"/>
  <c r="J250" i="324"/>
  <c r="I249" i="324"/>
  <c r="J249" i="324"/>
  <c r="I247" i="324"/>
  <c r="J247" i="324"/>
  <c r="I246" i="324"/>
  <c r="J246" i="324"/>
  <c r="I245" i="324"/>
  <c r="J245" i="324"/>
  <c r="I244" i="324"/>
  <c r="J244" i="324"/>
  <c r="I243" i="324"/>
  <c r="J243" i="324"/>
  <c r="I242" i="324"/>
  <c r="J242" i="324"/>
  <c r="I241" i="324"/>
  <c r="J241" i="324"/>
  <c r="I240" i="324"/>
  <c r="J240" i="324"/>
  <c r="I239" i="324"/>
  <c r="J239" i="324"/>
  <c r="I238" i="324"/>
  <c r="J238" i="324"/>
  <c r="I236" i="324"/>
  <c r="J236" i="324"/>
  <c r="I235" i="324"/>
  <c r="J235" i="324"/>
  <c r="I234" i="324"/>
  <c r="J234" i="324"/>
  <c r="I233" i="324"/>
  <c r="J233" i="324"/>
  <c r="I232" i="324"/>
  <c r="J232" i="324"/>
  <c r="I231" i="324"/>
  <c r="J231" i="324"/>
  <c r="I230" i="324"/>
  <c r="J230" i="324"/>
  <c r="I229" i="324"/>
  <c r="J229" i="324"/>
  <c r="I228" i="324"/>
  <c r="J228" i="324"/>
  <c r="I227" i="324"/>
  <c r="J227" i="324"/>
  <c r="I225" i="324"/>
  <c r="J225" i="324"/>
  <c r="I224" i="324"/>
  <c r="J224" i="324"/>
  <c r="I223" i="324"/>
  <c r="J223" i="324"/>
  <c r="I222" i="324"/>
  <c r="J222" i="324"/>
  <c r="I221" i="324"/>
  <c r="J221" i="324"/>
  <c r="I220" i="324"/>
  <c r="J220" i="324"/>
  <c r="I219" i="324"/>
  <c r="J219" i="324"/>
  <c r="I218" i="324"/>
  <c r="J218" i="324"/>
  <c r="I217" i="324"/>
  <c r="J217" i="324"/>
  <c r="I216" i="324"/>
  <c r="J216" i="324"/>
  <c r="I214" i="324"/>
  <c r="J214" i="324"/>
  <c r="I213" i="324"/>
  <c r="J213" i="324"/>
  <c r="I212" i="324"/>
  <c r="J212" i="324"/>
  <c r="I211" i="324"/>
  <c r="J211" i="324"/>
  <c r="I210" i="324"/>
  <c r="J210" i="324"/>
  <c r="I209" i="324"/>
  <c r="J209" i="324" s="1"/>
  <c r="I208" i="324"/>
  <c r="J208" i="324" s="1"/>
  <c r="I207" i="324"/>
  <c r="J207" i="324" s="1"/>
  <c r="I206" i="324"/>
  <c r="J206" i="324" s="1"/>
  <c r="I205" i="324"/>
  <c r="J205" i="324" s="1"/>
  <c r="I203" i="324"/>
  <c r="J203" i="324"/>
  <c r="I202" i="324"/>
  <c r="J202" i="324"/>
  <c r="I201" i="324"/>
  <c r="J201" i="324"/>
  <c r="I200" i="324"/>
  <c r="J200" i="324"/>
  <c r="I199" i="324"/>
  <c r="J199" i="324"/>
  <c r="I198" i="324"/>
  <c r="J198" i="324" s="1"/>
  <c r="I197" i="324"/>
  <c r="J197" i="324" s="1"/>
  <c r="I195" i="324"/>
  <c r="J195" i="324" s="1"/>
  <c r="I194" i="324"/>
  <c r="J194" i="324" s="1"/>
  <c r="I192" i="324"/>
  <c r="J192" i="324"/>
  <c r="I191" i="324"/>
  <c r="J191" i="324"/>
  <c r="I190" i="324"/>
  <c r="J190" i="324"/>
  <c r="I189" i="324"/>
  <c r="J189" i="324"/>
  <c r="I188" i="324"/>
  <c r="J188" i="324"/>
  <c r="I187" i="324"/>
  <c r="J187" i="324" s="1"/>
  <c r="I186" i="324"/>
  <c r="J186" i="324" s="1"/>
  <c r="I185" i="324"/>
  <c r="J185" i="324" s="1"/>
  <c r="I184" i="324"/>
  <c r="J184" i="324" s="1"/>
  <c r="I183" i="324"/>
  <c r="J183" i="324" s="1"/>
  <c r="I181" i="324"/>
  <c r="J181" i="324"/>
  <c r="I180" i="324"/>
  <c r="J180" i="324"/>
  <c r="I179" i="324"/>
  <c r="J179" i="324"/>
  <c r="I178" i="324"/>
  <c r="J178" i="324"/>
  <c r="I177" i="324"/>
  <c r="J177" i="324"/>
  <c r="I176" i="324"/>
  <c r="J176" i="324"/>
  <c r="I175" i="324"/>
  <c r="J175" i="324" s="1"/>
  <c r="I174" i="324"/>
  <c r="J174" i="324" s="1"/>
  <c r="I173" i="324"/>
  <c r="J173" i="324" s="1"/>
  <c r="I170" i="324"/>
  <c r="J170" i="324"/>
  <c r="I169" i="324"/>
  <c r="J169" i="324"/>
  <c r="I168" i="324"/>
  <c r="J168" i="324"/>
  <c r="I167" i="324"/>
  <c r="J167" i="324"/>
  <c r="I166" i="324"/>
  <c r="J166" i="324"/>
  <c r="I165" i="324"/>
  <c r="J165" i="324" s="1"/>
  <c r="I164" i="324"/>
  <c r="J164" i="324" s="1"/>
  <c r="I163" i="324"/>
  <c r="J163" i="324" s="1"/>
  <c r="I162" i="324"/>
  <c r="J162" i="324" s="1"/>
  <c r="I161" i="324"/>
  <c r="J161" i="324" s="1"/>
  <c r="I159" i="324"/>
  <c r="J159" i="324"/>
  <c r="I158" i="324"/>
  <c r="J158" i="324"/>
  <c r="I157" i="324"/>
  <c r="J157" i="324"/>
  <c r="I156" i="324"/>
  <c r="J156" i="324"/>
  <c r="I155" i="324"/>
  <c r="J155" i="324"/>
  <c r="I154" i="324"/>
  <c r="J154" i="324"/>
  <c r="I153" i="324"/>
  <c r="J153" i="324"/>
  <c r="I152" i="324"/>
  <c r="J152" i="324" s="1"/>
  <c r="I151" i="324"/>
  <c r="J151" i="324" s="1"/>
  <c r="I150" i="324"/>
  <c r="J150" i="324" s="1"/>
  <c r="I148" i="324"/>
  <c r="J148" i="324"/>
  <c r="I146" i="324"/>
  <c r="J146" i="324"/>
  <c r="I40" i="324"/>
  <c r="J40" i="324" s="1"/>
  <c r="I37" i="324"/>
  <c r="J37" i="324" s="1"/>
  <c r="I31" i="324"/>
  <c r="J31" i="324" s="1"/>
  <c r="I17" i="324"/>
  <c r="J17" i="324" s="1"/>
  <c r="I8" i="324"/>
  <c r="J8" i="324" s="1"/>
  <c r="W3" i="324"/>
  <c r="V3" i="324"/>
  <c r="U3" i="324"/>
  <c r="T3" i="324"/>
  <c r="S3" i="324"/>
  <c r="R3" i="324"/>
  <c r="Q3" i="324"/>
  <c r="P3" i="324"/>
  <c r="O3" i="324"/>
  <c r="N3" i="324"/>
  <c r="M3" i="324"/>
  <c r="L3" i="324"/>
  <c r="K3" i="324"/>
  <c r="J3" i="324"/>
  <c r="I3" i="324"/>
  <c r="H3" i="324"/>
  <c r="G3" i="324"/>
  <c r="F3" i="324"/>
  <c r="E3" i="324"/>
  <c r="D3" i="324"/>
  <c r="C3" i="324"/>
  <c r="L2" i="324"/>
  <c r="B2" i="324"/>
  <c r="A2" i="324"/>
  <c r="K43" i="268"/>
  <c r="K47" i="268"/>
  <c r="K63" i="268" s="1"/>
  <c r="K53" i="268"/>
  <c r="G43" i="268"/>
  <c r="G47" i="268"/>
  <c r="G53" i="268"/>
  <c r="F43" i="268"/>
  <c r="F47" i="268"/>
  <c r="F53" i="268"/>
  <c r="E43" i="268"/>
  <c r="E47" i="268"/>
  <c r="E53" i="268"/>
  <c r="D43" i="268"/>
  <c r="D47" i="268"/>
  <c r="D53" i="268"/>
  <c r="C43" i="268"/>
  <c r="C47" i="268"/>
  <c r="C53" i="268"/>
  <c r="I62" i="268"/>
  <c r="J62" i="268" s="1"/>
  <c r="I61" i="268"/>
  <c r="J61" i="268" s="1"/>
  <c r="I60" i="268"/>
  <c r="J60" i="268" s="1"/>
  <c r="I58" i="268"/>
  <c r="J58" i="268" s="1"/>
  <c r="I56" i="268"/>
  <c r="J56" i="268" s="1"/>
  <c r="I55" i="268"/>
  <c r="J55" i="268" s="1"/>
  <c r="I52" i="268"/>
  <c r="J52" i="268" s="1"/>
  <c r="I51" i="268"/>
  <c r="J51" i="268" s="1"/>
  <c r="I50" i="268"/>
  <c r="J50" i="268" s="1"/>
  <c r="I48" i="268"/>
  <c r="J48" i="268" s="1"/>
  <c r="I46" i="268"/>
  <c r="J46" i="268" s="1"/>
  <c r="I44" i="268"/>
  <c r="J44" i="268" s="1"/>
  <c r="I73" i="268"/>
  <c r="J73" i="268" s="1"/>
  <c r="I72" i="268"/>
  <c r="J72" i="268" s="1"/>
  <c r="I69" i="268"/>
  <c r="J69" i="268" s="1"/>
  <c r="I68" i="268"/>
  <c r="J68" i="268" s="1"/>
  <c r="I67" i="268"/>
  <c r="J67" i="268" s="1"/>
  <c r="A2" i="268"/>
  <c r="K3" i="268"/>
  <c r="J3" i="268"/>
  <c r="I3" i="268"/>
  <c r="H3" i="268"/>
  <c r="G3" i="268"/>
  <c r="F3" i="268"/>
  <c r="E3" i="268"/>
  <c r="D3" i="268"/>
  <c r="C3" i="268"/>
  <c r="B2" i="268"/>
  <c r="A75" i="268"/>
  <c r="E82" i="100"/>
  <c r="F35" i="178"/>
  <c r="G53" i="174" s="1"/>
  <c r="G14" i="174" s="1"/>
  <c r="F13" i="178"/>
  <c r="G52" i="174" s="1"/>
  <c r="F48" i="178"/>
  <c r="G49" i="174" s="1"/>
  <c r="F37" i="267"/>
  <c r="C26" i="178"/>
  <c r="A49" i="178"/>
  <c r="A2" i="178"/>
  <c r="G3" i="178"/>
  <c r="F3" i="178"/>
  <c r="E3" i="178"/>
  <c r="D3" i="178"/>
  <c r="C3" i="178"/>
  <c r="B2" i="178"/>
  <c r="F40" i="178"/>
  <c r="F39" i="267" s="1"/>
  <c r="I7" i="177"/>
  <c r="J7" i="177" s="1"/>
  <c r="I10" i="177"/>
  <c r="J10" i="177" s="1"/>
  <c r="I11" i="177"/>
  <c r="J11" i="177" s="1"/>
  <c r="I12" i="177"/>
  <c r="J12" i="177" s="1"/>
  <c r="I13" i="177"/>
  <c r="J13" i="177" s="1"/>
  <c r="I15" i="177"/>
  <c r="J15" i="177" s="1"/>
  <c r="I16" i="177"/>
  <c r="J16" i="177" s="1"/>
  <c r="I17" i="177"/>
  <c r="J17" i="177" s="1"/>
  <c r="E83" i="100"/>
  <c r="B83" i="100"/>
  <c r="I32" i="177"/>
  <c r="J32" i="177"/>
  <c r="I33" i="177"/>
  <c r="J33" i="177"/>
  <c r="I34" i="177"/>
  <c r="J34" i="177"/>
  <c r="I36" i="177"/>
  <c r="J36" i="177" s="1"/>
  <c r="J35" i="177"/>
  <c r="I22" i="177"/>
  <c r="J22" i="177"/>
  <c r="I27" i="177"/>
  <c r="J27" i="177" s="1"/>
  <c r="I24" i="177"/>
  <c r="J24" i="177"/>
  <c r="I25" i="177"/>
  <c r="J25" i="177"/>
  <c r="K3" i="177"/>
  <c r="J3" i="177"/>
  <c r="I3" i="177"/>
  <c r="H3" i="177"/>
  <c r="G3" i="177"/>
  <c r="F3" i="177"/>
  <c r="E3" i="177"/>
  <c r="D3" i="177"/>
  <c r="C3" i="177"/>
  <c r="B2" i="177"/>
  <c r="A2" i="177"/>
  <c r="A7" i="322"/>
  <c r="A6" i="322"/>
  <c r="A5" i="322"/>
  <c r="A4" i="322"/>
  <c r="A3" i="322"/>
  <c r="A2" i="322"/>
  <c r="J103" i="172"/>
  <c r="I103" i="172"/>
  <c r="H103" i="172"/>
  <c r="G103" i="172"/>
  <c r="F103" i="172"/>
  <c r="E103" i="172"/>
  <c r="D103" i="172"/>
  <c r="C103" i="172"/>
  <c r="B103" i="172"/>
  <c r="J102" i="172"/>
  <c r="I102" i="172"/>
  <c r="H102" i="172"/>
  <c r="G102" i="172"/>
  <c r="F102" i="172"/>
  <c r="E102" i="172"/>
  <c r="D102" i="172"/>
  <c r="C102" i="172"/>
  <c r="B102" i="172"/>
  <c r="I52" i="172"/>
  <c r="B105" i="100"/>
  <c r="A76" i="172"/>
  <c r="A81" i="172"/>
  <c r="A80" i="172"/>
  <c r="A79" i="172"/>
  <c r="A78" i="172"/>
  <c r="H52" i="172"/>
  <c r="G52" i="172"/>
  <c r="F52" i="172"/>
  <c r="E52" i="172"/>
  <c r="D52" i="172"/>
  <c r="C52" i="172"/>
  <c r="B52" i="172"/>
  <c r="B104" i="100"/>
  <c r="A51" i="172"/>
  <c r="A39" i="172"/>
  <c r="A38" i="172"/>
  <c r="A37" i="172"/>
  <c r="A36" i="172"/>
  <c r="A35" i="172"/>
  <c r="A34" i="172"/>
  <c r="A33" i="172"/>
  <c r="A32" i="172"/>
  <c r="A31" i="172"/>
  <c r="A30" i="172"/>
  <c r="A29" i="172"/>
  <c r="A28" i="172"/>
  <c r="G7" i="180"/>
  <c r="G8" i="180"/>
  <c r="F17" i="180"/>
  <c r="B39" i="172" s="1"/>
  <c r="F16" i="180"/>
  <c r="B38" i="172" s="1"/>
  <c r="F15" i="180"/>
  <c r="I15" i="180" s="1"/>
  <c r="F14" i="180"/>
  <c r="H14" i="180" s="1"/>
  <c r="F13" i="180"/>
  <c r="B35" i="172" s="1"/>
  <c r="F12" i="180"/>
  <c r="B34" i="172" s="1"/>
  <c r="G6" i="180"/>
  <c r="C28" i="172"/>
  <c r="F6" i="180"/>
  <c r="F7" i="180" s="1"/>
  <c r="G3" i="180"/>
  <c r="C27" i="172"/>
  <c r="F3" i="180"/>
  <c r="B27" i="172"/>
  <c r="A14" i="172"/>
  <c r="A13" i="172"/>
  <c r="A12" i="172"/>
  <c r="A11" i="172"/>
  <c r="A10" i="172"/>
  <c r="A9" i="172"/>
  <c r="A8" i="172"/>
  <c r="A7" i="172"/>
  <c r="A6" i="172"/>
  <c r="A5" i="172"/>
  <c r="A4" i="172"/>
  <c r="A3" i="172"/>
  <c r="E14" i="172"/>
  <c r="D14" i="172"/>
  <c r="C14" i="172"/>
  <c r="E13" i="172"/>
  <c r="D13" i="172"/>
  <c r="C13" i="172"/>
  <c r="E12" i="172"/>
  <c r="D12" i="172"/>
  <c r="C12" i="172"/>
  <c r="E11" i="172"/>
  <c r="D11" i="172"/>
  <c r="C11" i="172"/>
  <c r="E10" i="172"/>
  <c r="D10" i="172"/>
  <c r="C10" i="172"/>
  <c r="E9" i="172"/>
  <c r="D9" i="172"/>
  <c r="C9" i="172"/>
  <c r="E8" i="172"/>
  <c r="D8" i="172"/>
  <c r="C8" i="172"/>
  <c r="E7" i="172"/>
  <c r="D7" i="172"/>
  <c r="C7" i="172"/>
  <c r="E6" i="172"/>
  <c r="D6" i="172"/>
  <c r="C6" i="172"/>
  <c r="E5" i="172"/>
  <c r="D5" i="172"/>
  <c r="C5" i="172"/>
  <c r="E4" i="172"/>
  <c r="D4" i="172"/>
  <c r="C4" i="172"/>
  <c r="E3" i="172"/>
  <c r="E3" i="180"/>
  <c r="E2" i="172"/>
  <c r="D3" i="172"/>
  <c r="D3" i="180"/>
  <c r="D2" i="172"/>
  <c r="C3" i="180"/>
  <c r="C2" i="172"/>
  <c r="C3" i="172"/>
  <c r="B14" i="172"/>
  <c r="B13" i="172"/>
  <c r="B12" i="172"/>
  <c r="B11" i="172"/>
  <c r="B10" i="172"/>
  <c r="B9" i="172"/>
  <c r="B8" i="172"/>
  <c r="B7" i="172"/>
  <c r="B6" i="172"/>
  <c r="B5" i="172"/>
  <c r="B4" i="172"/>
  <c r="B3" i="172"/>
  <c r="K20" i="175"/>
  <c r="C81" i="172" s="1"/>
  <c r="B81" i="172" s="1"/>
  <c r="K18" i="175"/>
  <c r="K17" i="175"/>
  <c r="C78" i="172" s="1"/>
  <c r="B78" i="172" s="1"/>
  <c r="I54" i="172"/>
  <c r="H54" i="172"/>
  <c r="G54" i="172"/>
  <c r="F54" i="172"/>
  <c r="E54" i="172"/>
  <c r="D54" i="172"/>
  <c r="C54" i="172"/>
  <c r="B54" i="172"/>
  <c r="D53" i="172"/>
  <c r="B53" i="172"/>
  <c r="B15" i="251"/>
  <c r="B10" i="251"/>
  <c r="B5" i="251"/>
  <c r="A41" i="251"/>
  <c r="B2" i="251"/>
  <c r="A2" i="251"/>
  <c r="E93" i="100"/>
  <c r="A5" i="181"/>
  <c r="G36" i="181"/>
  <c r="I43" i="181"/>
  <c r="J43" i="181" s="1"/>
  <c r="I41" i="181"/>
  <c r="J41" i="181" s="1"/>
  <c r="I40" i="181"/>
  <c r="J40" i="181" s="1"/>
  <c r="I39" i="181"/>
  <c r="J39" i="181" s="1"/>
  <c r="I35" i="181"/>
  <c r="J35" i="181" s="1"/>
  <c r="I34" i="181"/>
  <c r="J34" i="181" s="1"/>
  <c r="I32" i="181"/>
  <c r="J32" i="181" s="1"/>
  <c r="I31" i="181"/>
  <c r="J31" i="181" s="1"/>
  <c r="I30" i="181"/>
  <c r="J30" i="181" s="1"/>
  <c r="I28" i="181"/>
  <c r="J28" i="181" s="1"/>
  <c r="I27" i="181"/>
  <c r="J27" i="181" s="1"/>
  <c r="I26" i="181"/>
  <c r="J26" i="181" s="1"/>
  <c r="I21" i="181"/>
  <c r="J21" i="181"/>
  <c r="I20" i="181"/>
  <c r="J20" i="181" s="1"/>
  <c r="I19" i="181"/>
  <c r="J19" i="181" s="1"/>
  <c r="I18" i="181"/>
  <c r="J18" i="181" s="1"/>
  <c r="I17" i="181"/>
  <c r="J17" i="181" s="1"/>
  <c r="I15" i="181"/>
  <c r="J15" i="181" s="1"/>
  <c r="I13" i="181"/>
  <c r="J13" i="181" s="1"/>
  <c r="I9" i="181"/>
  <c r="J9" i="181" s="1"/>
  <c r="I8" i="181"/>
  <c r="J8" i="181" s="1"/>
  <c r="I7" i="181"/>
  <c r="J7" i="181" s="1"/>
  <c r="I6" i="181"/>
  <c r="J6" i="181" s="1"/>
  <c r="K36" i="181"/>
  <c r="K38" i="181" s="1"/>
  <c r="K42" i="181" s="1"/>
  <c r="K44" i="181" s="1"/>
  <c r="F36" i="181"/>
  <c r="E36" i="181"/>
  <c r="E38" i="181"/>
  <c r="E42" i="181" s="1"/>
  <c r="E44" i="181" s="1"/>
  <c r="D36" i="181"/>
  <c r="C38" i="181"/>
  <c r="C42" i="181"/>
  <c r="C44" i="181"/>
  <c r="C36" i="181"/>
  <c r="A44" i="181"/>
  <c r="A43" i="181"/>
  <c r="A42" i="181"/>
  <c r="A38" i="181"/>
  <c r="A41" i="181"/>
  <c r="A40" i="181"/>
  <c r="A39" i="181"/>
  <c r="A35" i="181"/>
  <c r="A34" i="181"/>
  <c r="A33" i="181"/>
  <c r="A32" i="181"/>
  <c r="A31" i="181"/>
  <c r="A30" i="181"/>
  <c r="A29" i="181"/>
  <c r="A28" i="181"/>
  <c r="A27" i="181"/>
  <c r="A26" i="181"/>
  <c r="A25" i="181"/>
  <c r="A21" i="181"/>
  <c r="A20" i="181"/>
  <c r="A19" i="181"/>
  <c r="A18" i="181"/>
  <c r="A17" i="181"/>
  <c r="A16" i="181"/>
  <c r="A15" i="181"/>
  <c r="A14" i="181"/>
  <c r="A13" i="181"/>
  <c r="A12" i="181"/>
  <c r="A10" i="181"/>
  <c r="A9" i="181"/>
  <c r="A8" i="181"/>
  <c r="A7" i="181"/>
  <c r="A6" i="181"/>
  <c r="I37" i="181"/>
  <c r="A45" i="181"/>
  <c r="A2" i="181"/>
  <c r="K3" i="181"/>
  <c r="J3" i="181"/>
  <c r="I3" i="181"/>
  <c r="H3" i="181"/>
  <c r="G3" i="181"/>
  <c r="F3" i="181"/>
  <c r="E3" i="181"/>
  <c r="D3" i="181"/>
  <c r="C3" i="181"/>
  <c r="B2" i="181"/>
  <c r="E94" i="100"/>
  <c r="A41" i="183"/>
  <c r="A40" i="183"/>
  <c r="A39" i="183"/>
  <c r="A38" i="183"/>
  <c r="A37" i="183"/>
  <c r="A36" i="183"/>
  <c r="A35" i="183"/>
  <c r="A34" i="183"/>
  <c r="A28" i="183"/>
  <c r="A27" i="183"/>
  <c r="A26" i="183"/>
  <c r="A25" i="183"/>
  <c r="A24" i="183"/>
  <c r="A23" i="183"/>
  <c r="A22" i="183"/>
  <c r="A21" i="183"/>
  <c r="A20" i="183"/>
  <c r="A19" i="183"/>
  <c r="G16" i="183"/>
  <c r="H16" i="183"/>
  <c r="G29" i="183"/>
  <c r="H29" i="183"/>
  <c r="H31" i="183"/>
  <c r="G43" i="183"/>
  <c r="I43" i="183"/>
  <c r="J43" i="183"/>
  <c r="H43" i="183"/>
  <c r="J42" i="183"/>
  <c r="I41" i="183"/>
  <c r="J41" i="183"/>
  <c r="I40" i="183"/>
  <c r="J40" i="183"/>
  <c r="I39" i="183"/>
  <c r="J39" i="183"/>
  <c r="I38" i="183"/>
  <c r="J38" i="183"/>
  <c r="I37" i="183"/>
  <c r="J37" i="183"/>
  <c r="I36" i="183"/>
  <c r="J36" i="183"/>
  <c r="I35" i="183"/>
  <c r="J35" i="183"/>
  <c r="I34" i="183"/>
  <c r="J34" i="183"/>
  <c r="I33" i="183"/>
  <c r="J33" i="183"/>
  <c r="J30" i="183"/>
  <c r="I28" i="183"/>
  <c r="J28" i="183"/>
  <c r="I27" i="183"/>
  <c r="J27" i="183"/>
  <c r="I26" i="183"/>
  <c r="J26" i="183"/>
  <c r="I25" i="183"/>
  <c r="J25" i="183"/>
  <c r="I24" i="183"/>
  <c r="J24" i="183"/>
  <c r="I23" i="183"/>
  <c r="J23" i="183"/>
  <c r="I22" i="183"/>
  <c r="J22" i="183"/>
  <c r="I21" i="183"/>
  <c r="J21" i="183"/>
  <c r="I20" i="183"/>
  <c r="J20" i="183"/>
  <c r="I19" i="183"/>
  <c r="J19" i="183"/>
  <c r="A33" i="183"/>
  <c r="I15" i="183"/>
  <c r="J15" i="183"/>
  <c r="I14" i="183"/>
  <c r="J14" i="183"/>
  <c r="I13" i="183"/>
  <c r="J13" i="183"/>
  <c r="I12" i="183"/>
  <c r="J12" i="183"/>
  <c r="I11" i="183"/>
  <c r="J11" i="183"/>
  <c r="I10" i="183"/>
  <c r="J10" i="183"/>
  <c r="I9" i="183"/>
  <c r="J9" i="183"/>
  <c r="I8" i="183"/>
  <c r="J8" i="183"/>
  <c r="I7" i="183"/>
  <c r="J7" i="183"/>
  <c r="I6" i="183"/>
  <c r="J6" i="183"/>
  <c r="A44" i="183"/>
  <c r="K3" i="183"/>
  <c r="J3" i="183"/>
  <c r="I3" i="183"/>
  <c r="H3" i="183"/>
  <c r="G3" i="183"/>
  <c r="F3" i="183"/>
  <c r="E3" i="183"/>
  <c r="D3" i="183"/>
  <c r="C3" i="183"/>
  <c r="B2" i="183"/>
  <c r="A2" i="183"/>
  <c r="C16" i="183"/>
  <c r="D16" i="183"/>
  <c r="E16" i="183"/>
  <c r="F16" i="183"/>
  <c r="K16" i="183"/>
  <c r="C29" i="183"/>
  <c r="D29" i="183"/>
  <c r="E29" i="183"/>
  <c r="F29" i="183"/>
  <c r="K29" i="183"/>
  <c r="K31" i="183"/>
  <c r="A31" i="183"/>
  <c r="C43" i="183"/>
  <c r="D43" i="183"/>
  <c r="E43" i="183"/>
  <c r="F43" i="183"/>
  <c r="K43" i="183"/>
  <c r="E95" i="100"/>
  <c r="E18" i="180"/>
  <c r="D18" i="180"/>
  <c r="C18" i="180"/>
  <c r="I3" i="180"/>
  <c r="H3" i="180"/>
  <c r="B3" i="180"/>
  <c r="B18" i="180"/>
  <c r="I136" i="242"/>
  <c r="J136" i="242"/>
  <c r="J134" i="242"/>
  <c r="J137" i="242"/>
  <c r="I107" i="242"/>
  <c r="J107" i="242"/>
  <c r="I108" i="242"/>
  <c r="J108" i="242" s="1"/>
  <c r="I109" i="242"/>
  <c r="J109" i="242" s="1"/>
  <c r="I101" i="242"/>
  <c r="J101" i="242"/>
  <c r="I11" i="242"/>
  <c r="J11" i="242" s="1"/>
  <c r="I12" i="242"/>
  <c r="J12" i="242" s="1"/>
  <c r="I14" i="242"/>
  <c r="J14" i="242"/>
  <c r="I15" i="242"/>
  <c r="J15" i="242" s="1"/>
  <c r="I16" i="242"/>
  <c r="J16" i="242" s="1"/>
  <c r="I28" i="242"/>
  <c r="J28" i="242" s="1"/>
  <c r="I37" i="242"/>
  <c r="J37" i="242" s="1"/>
  <c r="I70" i="242"/>
  <c r="J70" i="242" s="1"/>
  <c r="I71" i="242"/>
  <c r="J71" i="242"/>
  <c r="I72" i="242"/>
  <c r="J72" i="242" s="1"/>
  <c r="I73" i="242"/>
  <c r="J73" i="242" s="1"/>
  <c r="J74" i="242"/>
  <c r="I149" i="242"/>
  <c r="J149" i="242" s="1"/>
  <c r="I146" i="242"/>
  <c r="J146" i="242"/>
  <c r="I139" i="242"/>
  <c r="J139" i="242"/>
  <c r="I133" i="242"/>
  <c r="J133" i="242" s="1"/>
  <c r="I132" i="242"/>
  <c r="J132" i="242" s="1"/>
  <c r="I131" i="242"/>
  <c r="J131" i="242" s="1"/>
  <c r="I129" i="242"/>
  <c r="J129" i="242"/>
  <c r="I128" i="242"/>
  <c r="J128" i="242"/>
  <c r="I127" i="242"/>
  <c r="J127" i="242"/>
  <c r="I126" i="242"/>
  <c r="J126" i="242"/>
  <c r="I125" i="242"/>
  <c r="J125" i="242"/>
  <c r="I124" i="242"/>
  <c r="J124" i="242"/>
  <c r="I123" i="242"/>
  <c r="J123" i="242"/>
  <c r="I119" i="242"/>
  <c r="J119" i="242" s="1"/>
  <c r="I102" i="242"/>
  <c r="J102" i="242" s="1"/>
  <c r="I100" i="242"/>
  <c r="J100" i="242"/>
  <c r="I98" i="242"/>
  <c r="J98" i="242" s="1"/>
  <c r="I97" i="242"/>
  <c r="J97" i="242" s="1"/>
  <c r="I95" i="242"/>
  <c r="J95" i="242"/>
  <c r="I94" i="242"/>
  <c r="J94" i="242" s="1"/>
  <c r="I93" i="242"/>
  <c r="J93" i="242" s="1"/>
  <c r="I91" i="242"/>
  <c r="J91" i="242" s="1"/>
  <c r="I90" i="242"/>
  <c r="J90" i="242" s="1"/>
  <c r="I89" i="242"/>
  <c r="J89" i="242" s="1"/>
  <c r="A2" i="242"/>
  <c r="K3" i="242"/>
  <c r="J3" i="242"/>
  <c r="I3" i="242"/>
  <c r="H3" i="242"/>
  <c r="G3" i="242"/>
  <c r="F3" i="242"/>
  <c r="E3" i="242"/>
  <c r="D3" i="242"/>
  <c r="C3" i="242"/>
  <c r="B2" i="242"/>
  <c r="A168" i="242"/>
  <c r="A168" i="326"/>
  <c r="K3" i="326"/>
  <c r="J3" i="326"/>
  <c r="I3" i="326"/>
  <c r="H3" i="326"/>
  <c r="G3" i="326"/>
  <c r="F3" i="326"/>
  <c r="E3" i="326"/>
  <c r="D3" i="326"/>
  <c r="C3" i="326"/>
  <c r="B2" i="326"/>
  <c r="A2" i="326"/>
  <c r="K3" i="325"/>
  <c r="J3" i="325"/>
  <c r="I3" i="325"/>
  <c r="H3" i="325"/>
  <c r="G3" i="325"/>
  <c r="F3" i="325"/>
  <c r="E3" i="325"/>
  <c r="D3" i="325"/>
  <c r="C3" i="325"/>
  <c r="B2" i="325"/>
  <c r="A2" i="325"/>
  <c r="H42" i="174"/>
  <c r="H44" i="174"/>
  <c r="G42" i="174"/>
  <c r="F42" i="174"/>
  <c r="F44" i="174"/>
  <c r="F55" i="174"/>
  <c r="F27" i="174" s="1"/>
  <c r="E42" i="174"/>
  <c r="E44" i="174"/>
  <c r="H40" i="174"/>
  <c r="G40" i="174"/>
  <c r="F40" i="174"/>
  <c r="E40" i="174"/>
  <c r="D42" i="174"/>
  <c r="D44" i="174"/>
  <c r="D27" i="174"/>
  <c r="D40" i="174"/>
  <c r="D26" i="174"/>
  <c r="H63" i="174"/>
  <c r="H18" i="174"/>
  <c r="G63" i="174"/>
  <c r="G18" i="174" s="1"/>
  <c r="F63" i="174"/>
  <c r="F18" i="174"/>
  <c r="E63" i="174"/>
  <c r="E18" i="174"/>
  <c r="H59" i="174"/>
  <c r="G59" i="174"/>
  <c r="F59" i="174"/>
  <c r="E59" i="174"/>
  <c r="D63" i="174"/>
  <c r="D18" i="174"/>
  <c r="D59" i="174"/>
  <c r="D17" i="174"/>
  <c r="E53" i="174"/>
  <c r="D53" i="174"/>
  <c r="D14" i="174"/>
  <c r="F52" i="174"/>
  <c r="D52" i="174"/>
  <c r="H51" i="174"/>
  <c r="H50" i="174"/>
  <c r="H11" i="174" s="1"/>
  <c r="G51" i="174"/>
  <c r="G50" i="174"/>
  <c r="F51" i="174"/>
  <c r="F50" i="174"/>
  <c r="F11" i="174" s="1"/>
  <c r="E51" i="174"/>
  <c r="E50" i="174"/>
  <c r="D51" i="174"/>
  <c r="D11" i="174"/>
  <c r="D50" i="174"/>
  <c r="H48" i="174"/>
  <c r="G48" i="174"/>
  <c r="F48" i="174"/>
  <c r="F49" i="174"/>
  <c r="E48" i="174"/>
  <c r="D48" i="174"/>
  <c r="D10" i="174"/>
  <c r="D49" i="174"/>
  <c r="H47" i="174"/>
  <c r="G47" i="174"/>
  <c r="F47" i="174"/>
  <c r="E47" i="174"/>
  <c r="D47" i="174"/>
  <c r="F45" i="174"/>
  <c r="G38" i="174"/>
  <c r="F38" i="174"/>
  <c r="E38" i="174"/>
  <c r="D38" i="174"/>
  <c r="H43" i="174"/>
  <c r="G43" i="174"/>
  <c r="F43" i="174"/>
  <c r="E43" i="174"/>
  <c r="D43" i="174"/>
  <c r="A52" i="174"/>
  <c r="A50" i="174"/>
  <c r="A41" i="174"/>
  <c r="A40" i="174"/>
  <c r="A53" i="174"/>
  <c r="A51" i="174"/>
  <c r="A46" i="174"/>
  <c r="A38" i="174"/>
  <c r="H61" i="174"/>
  <c r="H58" i="174"/>
  <c r="G58" i="174"/>
  <c r="F58" i="174"/>
  <c r="E58" i="174"/>
  <c r="D58" i="174"/>
  <c r="H57" i="174"/>
  <c r="H56" i="174"/>
  <c r="G61" i="174"/>
  <c r="G60" i="174"/>
  <c r="G57" i="174"/>
  <c r="G56" i="174"/>
  <c r="F61" i="174"/>
  <c r="E61" i="174"/>
  <c r="F60" i="174"/>
  <c r="E60" i="174"/>
  <c r="F57" i="174"/>
  <c r="E57" i="174"/>
  <c r="F56" i="174"/>
  <c r="E56" i="174"/>
  <c r="D61" i="174"/>
  <c r="D60" i="174"/>
  <c r="D57" i="174"/>
  <c r="D56" i="174"/>
  <c r="A57" i="174"/>
  <c r="A56" i="174"/>
  <c r="A55" i="174"/>
  <c r="C2" i="174"/>
  <c r="G3" i="174"/>
  <c r="H3" i="174"/>
  <c r="F3" i="174"/>
  <c r="E3" i="174"/>
  <c r="D3" i="174"/>
  <c r="J21" i="175"/>
  <c r="I21" i="175"/>
  <c r="I26" i="175" s="1"/>
  <c r="I27" i="175" s="1"/>
  <c r="H21" i="175"/>
  <c r="G21" i="175"/>
  <c r="F21" i="175"/>
  <c r="E21" i="175"/>
  <c r="E26" i="175" s="1"/>
  <c r="E27" i="175" s="1"/>
  <c r="D21" i="175"/>
  <c r="C21" i="175"/>
  <c r="C26" i="175" s="1"/>
  <c r="C27" i="175" s="1"/>
  <c r="A2" i="175"/>
  <c r="M14" i="175"/>
  <c r="M21" i="175"/>
  <c r="L15" i="173"/>
  <c r="A2" i="173"/>
  <c r="C36" i="270"/>
  <c r="C57" i="270"/>
  <c r="I60" i="270"/>
  <c r="J60" i="270"/>
  <c r="G45" i="270"/>
  <c r="F45" i="270"/>
  <c r="E45" i="270"/>
  <c r="D45" i="270"/>
  <c r="K59" i="270"/>
  <c r="G59" i="270"/>
  <c r="H59" i="270"/>
  <c r="F59" i="270"/>
  <c r="E59" i="270"/>
  <c r="D59" i="270"/>
  <c r="I58" i="270"/>
  <c r="J58" i="270"/>
  <c r="K57" i="270"/>
  <c r="G57" i="270"/>
  <c r="H57" i="270"/>
  <c r="F57" i="270"/>
  <c r="E57" i="270"/>
  <c r="D57" i="270"/>
  <c r="K36" i="270"/>
  <c r="G36" i="270"/>
  <c r="F36" i="270"/>
  <c r="E36" i="270"/>
  <c r="D36" i="270"/>
  <c r="G29" i="270"/>
  <c r="H29" i="270"/>
  <c r="I30" i="270"/>
  <c r="J30" i="270"/>
  <c r="G31" i="270"/>
  <c r="H31" i="270"/>
  <c r="I32" i="270"/>
  <c r="J32" i="270"/>
  <c r="K8" i="270"/>
  <c r="K17" i="270"/>
  <c r="K29" i="270"/>
  <c r="K31" i="270"/>
  <c r="G8" i="270"/>
  <c r="G17" i="270"/>
  <c r="F8" i="270"/>
  <c r="F17" i="270"/>
  <c r="F29" i="270"/>
  <c r="F31" i="270"/>
  <c r="E8" i="270"/>
  <c r="E17" i="270"/>
  <c r="E33" i="270" s="1"/>
  <c r="E29" i="270"/>
  <c r="E31" i="270"/>
  <c r="D8" i="270"/>
  <c r="D17" i="270"/>
  <c r="D29" i="270"/>
  <c r="D31" i="270"/>
  <c r="C8" i="270"/>
  <c r="C17" i="270"/>
  <c r="C29" i="270"/>
  <c r="A59" i="270"/>
  <c r="A44" i="334"/>
  <c r="A57" i="270"/>
  <c r="A41" i="334"/>
  <c r="A38" i="334"/>
  <c r="A36" i="270"/>
  <c r="A36" i="269"/>
  <c r="I56" i="270"/>
  <c r="J56" i="270" s="1"/>
  <c r="I16" i="270"/>
  <c r="J16" i="270" s="1"/>
  <c r="K3" i="270"/>
  <c r="J3" i="270"/>
  <c r="I3" i="270"/>
  <c r="H3" i="270"/>
  <c r="G3" i="270"/>
  <c r="F3" i="270"/>
  <c r="E3" i="270"/>
  <c r="D3" i="270"/>
  <c r="C3" i="270"/>
  <c r="B2" i="270"/>
  <c r="A2" i="270"/>
  <c r="A64" i="270"/>
  <c r="I61" i="269"/>
  <c r="J61" i="269"/>
  <c r="K60" i="269"/>
  <c r="G60" i="269"/>
  <c r="H60" i="269"/>
  <c r="F60" i="269"/>
  <c r="E60" i="269"/>
  <c r="D60" i="269"/>
  <c r="C60" i="269"/>
  <c r="I59" i="269"/>
  <c r="J59" i="269"/>
  <c r="K58" i="269"/>
  <c r="G58" i="269"/>
  <c r="H58" i="269"/>
  <c r="F58" i="269"/>
  <c r="E58" i="269"/>
  <c r="D58" i="269"/>
  <c r="C58" i="269"/>
  <c r="I57" i="269"/>
  <c r="J57" i="269" s="1"/>
  <c r="I46" i="269"/>
  <c r="J46" i="269" s="1"/>
  <c r="G45" i="269"/>
  <c r="F45" i="269"/>
  <c r="E45" i="269"/>
  <c r="D45" i="269"/>
  <c r="C45" i="269"/>
  <c r="K36" i="269"/>
  <c r="G36" i="269"/>
  <c r="F36" i="269"/>
  <c r="F62" i="269" s="1"/>
  <c r="E36" i="269"/>
  <c r="D36" i="269"/>
  <c r="C36" i="269"/>
  <c r="K8" i="269"/>
  <c r="K17" i="269"/>
  <c r="K29" i="269"/>
  <c r="K31" i="269"/>
  <c r="I9" i="269"/>
  <c r="J9" i="269" s="1"/>
  <c r="G29" i="269"/>
  <c r="H29" i="269"/>
  <c r="G31" i="269"/>
  <c r="H31" i="269"/>
  <c r="G8" i="269"/>
  <c r="G17" i="269"/>
  <c r="F8" i="269"/>
  <c r="F17" i="269"/>
  <c r="F29" i="269"/>
  <c r="F31" i="269"/>
  <c r="E8" i="269"/>
  <c r="E17" i="269"/>
  <c r="E31" i="269"/>
  <c r="D8" i="269"/>
  <c r="D17" i="269"/>
  <c r="D29" i="269"/>
  <c r="D31" i="269"/>
  <c r="C8" i="269"/>
  <c r="C17" i="269"/>
  <c r="C29" i="269"/>
  <c r="C31" i="269"/>
  <c r="I32" i="269"/>
  <c r="J32" i="269"/>
  <c r="I30" i="269"/>
  <c r="J30" i="269"/>
  <c r="A32" i="269"/>
  <c r="A31" i="269"/>
  <c r="A30" i="269"/>
  <c r="A29" i="269"/>
  <c r="A17" i="269"/>
  <c r="A8" i="269"/>
  <c r="K3" i="269"/>
  <c r="J3" i="269"/>
  <c r="I3" i="269"/>
  <c r="H3" i="269"/>
  <c r="G3" i="269"/>
  <c r="F3" i="269"/>
  <c r="E3" i="269"/>
  <c r="D3" i="269"/>
  <c r="C3" i="269"/>
  <c r="B2" i="269"/>
  <c r="A2" i="269"/>
  <c r="A65" i="269"/>
  <c r="H30" i="318"/>
  <c r="H83" i="318"/>
  <c r="G30" i="318"/>
  <c r="G46" i="318"/>
  <c r="G83" i="318"/>
  <c r="G99" i="318"/>
  <c r="F30" i="318"/>
  <c r="F46" i="318"/>
  <c r="F83" i="318"/>
  <c r="F99" i="318"/>
  <c r="G14" i="318"/>
  <c r="G67" i="318"/>
  <c r="H67" i="318"/>
  <c r="K14" i="318"/>
  <c r="K15" i="318" s="1"/>
  <c r="K30" i="318"/>
  <c r="K31" i="318" s="1"/>
  <c r="K46" i="318"/>
  <c r="K47" i="318" s="1"/>
  <c r="K67" i="318"/>
  <c r="E14" i="318"/>
  <c r="E15" i="318" s="1"/>
  <c r="E30" i="318"/>
  <c r="E46" i="318"/>
  <c r="E67" i="318"/>
  <c r="E68" i="318"/>
  <c r="E83" i="318"/>
  <c r="E84" i="318" s="1"/>
  <c r="E99" i="318"/>
  <c r="D14" i="318"/>
  <c r="D15" i="318"/>
  <c r="D30" i="318"/>
  <c r="D31" i="318"/>
  <c r="D46" i="318"/>
  <c r="D47" i="318"/>
  <c r="D67" i="318"/>
  <c r="D68" i="318"/>
  <c r="D83" i="318"/>
  <c r="D99" i="318"/>
  <c r="D100" i="318" s="1"/>
  <c r="C83" i="318"/>
  <c r="C14" i="318"/>
  <c r="I98" i="318"/>
  <c r="J98" i="318"/>
  <c r="I97" i="318"/>
  <c r="J97" i="318" s="1"/>
  <c r="I96" i="318"/>
  <c r="J96" i="318" s="1"/>
  <c r="I95" i="318"/>
  <c r="J95" i="318" s="1"/>
  <c r="I94" i="318"/>
  <c r="J94" i="318" s="1"/>
  <c r="I93" i="318"/>
  <c r="J93" i="318" s="1"/>
  <c r="I87" i="318"/>
  <c r="J87" i="318" s="1"/>
  <c r="I82" i="318"/>
  <c r="J82" i="318" s="1"/>
  <c r="I81" i="318"/>
  <c r="J81" i="318"/>
  <c r="I80" i="318"/>
  <c r="J80" i="318" s="1"/>
  <c r="I79" i="318"/>
  <c r="J79" i="318" s="1"/>
  <c r="I74" i="318"/>
  <c r="J74" i="318" s="1"/>
  <c r="I73" i="318"/>
  <c r="J73" i="318" s="1"/>
  <c r="I72" i="318"/>
  <c r="J72" i="318" s="1"/>
  <c r="I71" i="318"/>
  <c r="J71" i="318" s="1"/>
  <c r="I66" i="318"/>
  <c r="J66" i="318"/>
  <c r="I65" i="318"/>
  <c r="J65" i="318"/>
  <c r="I64" i="318"/>
  <c r="J64" i="318"/>
  <c r="I62" i="318"/>
  <c r="J62" i="318"/>
  <c r="I56" i="318"/>
  <c r="J56" i="318"/>
  <c r="I55" i="318"/>
  <c r="J55" i="318"/>
  <c r="I54" i="318"/>
  <c r="J54" i="318" s="1"/>
  <c r="I29" i="318"/>
  <c r="J29" i="318" s="1"/>
  <c r="I26" i="318"/>
  <c r="J26" i="318" s="1"/>
  <c r="I20" i="318"/>
  <c r="J20" i="318" s="1"/>
  <c r="I19" i="318"/>
  <c r="J19" i="318" s="1"/>
  <c r="I18" i="318"/>
  <c r="J18" i="318" s="1"/>
  <c r="I13" i="318"/>
  <c r="J13" i="318" s="1"/>
  <c r="I9" i="318"/>
  <c r="J9" i="318" s="1"/>
  <c r="I8" i="318"/>
  <c r="J8" i="318" s="1"/>
  <c r="I7" i="318"/>
  <c r="J7" i="318" s="1"/>
  <c r="C30" i="318"/>
  <c r="C46" i="318"/>
  <c r="C106" i="318"/>
  <c r="K3" i="318"/>
  <c r="J3" i="318"/>
  <c r="I3" i="318"/>
  <c r="H3" i="318"/>
  <c r="G3" i="318"/>
  <c r="F3" i="318"/>
  <c r="E3" i="318"/>
  <c r="D3" i="318"/>
  <c r="C3" i="318"/>
  <c r="B2" i="318"/>
  <c r="F14" i="318"/>
  <c r="C67" i="318"/>
  <c r="C102" i="318"/>
  <c r="F67" i="318"/>
  <c r="C99" i="318"/>
  <c r="A107" i="318"/>
  <c r="P46" i="317"/>
  <c r="O65" i="317"/>
  <c r="O55" i="317"/>
  <c r="Q46" i="317"/>
  <c r="Q52" i="317"/>
  <c r="Q54" i="317"/>
  <c r="D52" i="317"/>
  <c r="D54" i="317"/>
  <c r="C52" i="317"/>
  <c r="E65" i="317"/>
  <c r="E52" i="317"/>
  <c r="F52" i="317"/>
  <c r="F54" i="317"/>
  <c r="F66" i="317"/>
  <c r="I52" i="317"/>
  <c r="J52" i="317"/>
  <c r="J54" i="317"/>
  <c r="J66" i="317"/>
  <c r="M52" i="317"/>
  <c r="N36" i="317"/>
  <c r="N46" i="317"/>
  <c r="N37" i="317"/>
  <c r="N38" i="317"/>
  <c r="N39" i="317"/>
  <c r="N40" i="317"/>
  <c r="N41" i="317"/>
  <c r="N42" i="317"/>
  <c r="N43" i="317"/>
  <c r="N44" i="317"/>
  <c r="N45" i="317"/>
  <c r="N49" i="317"/>
  <c r="N50" i="317"/>
  <c r="N51" i="317"/>
  <c r="N47" i="317"/>
  <c r="N6" i="317"/>
  <c r="N7" i="317"/>
  <c r="N8" i="317"/>
  <c r="N9" i="317"/>
  <c r="N10" i="317"/>
  <c r="N12" i="317"/>
  <c r="N13" i="317"/>
  <c r="N14" i="317"/>
  <c r="N15" i="317"/>
  <c r="N16" i="317"/>
  <c r="N17" i="317"/>
  <c r="N18" i="317"/>
  <c r="N19" i="317"/>
  <c r="N20" i="317"/>
  <c r="N24" i="317"/>
  <c r="N25" i="317"/>
  <c r="N26" i="317"/>
  <c r="N27" i="317"/>
  <c r="N28" i="317"/>
  <c r="N29" i="317"/>
  <c r="N31" i="317"/>
  <c r="N32" i="317"/>
  <c r="N22" i="317"/>
  <c r="N23" i="317"/>
  <c r="O2" i="317"/>
  <c r="A2" i="317"/>
  <c r="N53" i="317"/>
  <c r="N35" i="317"/>
  <c r="N34" i="317"/>
  <c r="B13" i="100"/>
  <c r="P3" i="317"/>
  <c r="B2" i="317"/>
  <c r="B46" i="317"/>
  <c r="B52" i="317"/>
  <c r="B54" i="317"/>
  <c r="A57" i="317"/>
  <c r="I24" i="267"/>
  <c r="I16" i="272"/>
  <c r="J16" i="272"/>
  <c r="F9" i="241"/>
  <c r="G15" i="241"/>
  <c r="I15" i="241"/>
  <c r="J15" i="241"/>
  <c r="D21" i="241"/>
  <c r="F65" i="317"/>
  <c r="B79" i="100"/>
  <c r="B96" i="100"/>
  <c r="B97" i="100"/>
  <c r="I83" i="323"/>
  <c r="J83" i="323"/>
  <c r="A6" i="323"/>
  <c r="A28" i="323"/>
  <c r="A72" i="323"/>
  <c r="A94" i="323"/>
  <c r="A116" i="323"/>
  <c r="A262" i="323"/>
  <c r="A295" i="323"/>
  <c r="A317" i="323"/>
  <c r="A19" i="272"/>
  <c r="A17" i="272"/>
  <c r="A15" i="272"/>
  <c r="A11" i="272"/>
  <c r="A7" i="272"/>
  <c r="A36" i="272"/>
  <c r="A34" i="272"/>
  <c r="A30" i="272"/>
  <c r="A26" i="272"/>
  <c r="A281" i="324"/>
  <c r="A259" i="324"/>
  <c r="A237" i="324"/>
  <c r="A215" i="324"/>
  <c r="A193" i="324"/>
  <c r="A171" i="324"/>
  <c r="A12" i="324"/>
  <c r="A19" i="268"/>
  <c r="A17" i="268"/>
  <c r="A15" i="268"/>
  <c r="A11" i="268"/>
  <c r="A9" i="268"/>
  <c r="A7" i="268"/>
  <c r="A36" i="268"/>
  <c r="A34" i="268"/>
  <c r="A30" i="268"/>
  <c r="A26" i="268"/>
  <c r="A149" i="323"/>
  <c r="A174" i="323"/>
  <c r="A185" i="323"/>
  <c r="A273" i="323"/>
  <c r="A284" i="323"/>
  <c r="A306" i="323"/>
  <c r="A20" i="272"/>
  <c r="A16" i="272"/>
  <c r="A14" i="272"/>
  <c r="A12" i="272"/>
  <c r="A8" i="272"/>
  <c r="A24" i="272"/>
  <c r="A37" i="272"/>
  <c r="A33" i="272"/>
  <c r="A31" i="272"/>
  <c r="A29" i="272"/>
  <c r="A25" i="272"/>
  <c r="A292" i="324"/>
  <c r="A248" i="324"/>
  <c r="A226" i="324"/>
  <c r="A204" i="324"/>
  <c r="A160" i="324"/>
  <c r="A18" i="324"/>
  <c r="E31" i="318"/>
  <c r="D7" i="272"/>
  <c r="E39" i="177"/>
  <c r="E41" i="177" s="1"/>
  <c r="D46" i="267" s="1"/>
  <c r="A83" i="323"/>
  <c r="A127" i="323"/>
  <c r="A33" i="268"/>
  <c r="A29" i="268"/>
  <c r="A25" i="268"/>
  <c r="G19" i="241"/>
  <c r="B81" i="100"/>
  <c r="A31" i="268"/>
  <c r="A61" i="323"/>
  <c r="A27" i="268"/>
  <c r="A35" i="324"/>
  <c r="B4" i="100"/>
  <c r="B103" i="100"/>
  <c r="A26" i="172"/>
  <c r="F8" i="334"/>
  <c r="G9" i="334"/>
  <c r="F25" i="334"/>
  <c r="G25" i="334"/>
  <c r="F41" i="334"/>
  <c r="G45" i="334"/>
  <c r="F22" i="334"/>
  <c r="I16" i="183"/>
  <c r="J16" i="183"/>
  <c r="J37" i="267"/>
  <c r="C28" i="272"/>
  <c r="D17" i="272"/>
  <c r="I72" i="323"/>
  <c r="J72" i="323"/>
  <c r="C31" i="183"/>
  <c r="F45" i="267"/>
  <c r="H15" i="272"/>
  <c r="I105" i="323"/>
  <c r="J105" i="323"/>
  <c r="J29" i="267"/>
  <c r="B100" i="100"/>
  <c r="K117" i="326"/>
  <c r="J130" i="326"/>
  <c r="G110" i="335"/>
  <c r="I130" i="335"/>
  <c r="J130" i="335"/>
  <c r="H110" i="333"/>
  <c r="E117" i="333"/>
  <c r="I38" i="333"/>
  <c r="J38" i="333" s="1"/>
  <c r="I163" i="333"/>
  <c r="J163" i="333"/>
  <c r="E75" i="333"/>
  <c r="I69" i="333"/>
  <c r="J69" i="333"/>
  <c r="I111" i="333"/>
  <c r="J111" i="333"/>
  <c r="C117" i="333"/>
  <c r="I63" i="333"/>
  <c r="J63" i="333"/>
  <c r="F110" i="333"/>
  <c r="I148" i="325"/>
  <c r="J148" i="325"/>
  <c r="J151" i="325"/>
  <c r="I13" i="325"/>
  <c r="J13" i="325"/>
  <c r="I160" i="325"/>
  <c r="J160" i="325"/>
  <c r="I163" i="325"/>
  <c r="J163" i="325"/>
  <c r="I69" i="325"/>
  <c r="J69" i="325"/>
  <c r="C75" i="325"/>
  <c r="I135" i="325"/>
  <c r="J135" i="325"/>
  <c r="I111" i="325"/>
  <c r="J111" i="325"/>
  <c r="C117" i="325"/>
  <c r="H110" i="325"/>
  <c r="D117" i="325"/>
  <c r="C7" i="325"/>
  <c r="G117" i="325"/>
  <c r="I117" i="325" s="1"/>
  <c r="J117" i="325" s="1"/>
  <c r="F110" i="325"/>
  <c r="E110" i="325"/>
  <c r="D7" i="325"/>
  <c r="I63" i="325"/>
  <c r="J63" i="325"/>
  <c r="H117" i="325"/>
  <c r="I157" i="325"/>
  <c r="J157" i="325"/>
  <c r="E7" i="325"/>
  <c r="E166" i="325" s="1"/>
  <c r="I99" i="325"/>
  <c r="J99" i="325"/>
  <c r="F110" i="326"/>
  <c r="E110" i="326"/>
  <c r="J63" i="326"/>
  <c r="I135" i="326"/>
  <c r="J135" i="326"/>
  <c r="I17" i="326"/>
  <c r="J17" i="326"/>
  <c r="I69" i="326"/>
  <c r="J69" i="326"/>
  <c r="I114" i="326"/>
  <c r="J114" i="326"/>
  <c r="I157" i="326"/>
  <c r="J157" i="326"/>
  <c r="I27" i="326"/>
  <c r="J27" i="326"/>
  <c r="C117" i="326"/>
  <c r="G117" i="326"/>
  <c r="I117" i="326"/>
  <c r="J117" i="326"/>
  <c r="I160" i="326"/>
  <c r="J160" i="326"/>
  <c r="I99" i="326"/>
  <c r="J99" i="326"/>
  <c r="H110" i="326"/>
  <c r="D117" i="326"/>
  <c r="H117" i="326"/>
  <c r="I148" i="326"/>
  <c r="J148" i="326"/>
  <c r="I13" i="326"/>
  <c r="J13" i="326"/>
  <c r="E7" i="326"/>
  <c r="E166" i="326" s="1"/>
  <c r="J163" i="326"/>
  <c r="E117" i="326"/>
  <c r="J118" i="326"/>
  <c r="I140" i="326"/>
  <c r="J140" i="326"/>
  <c r="I38" i="326"/>
  <c r="J38" i="326"/>
  <c r="E75" i="326"/>
  <c r="I103" i="326"/>
  <c r="J103" i="326" s="1"/>
  <c r="I151" i="326"/>
  <c r="J151" i="326" s="1"/>
  <c r="H138" i="326"/>
  <c r="I138" i="326"/>
  <c r="J138" i="326"/>
  <c r="C75" i="242"/>
  <c r="H110" i="242"/>
  <c r="I110" i="242"/>
  <c r="J110" i="242" s="1"/>
  <c r="E110" i="242"/>
  <c r="G110" i="242"/>
  <c r="C117" i="242"/>
  <c r="I135" i="242"/>
  <c r="J135" i="242"/>
  <c r="I69" i="242"/>
  <c r="J69" i="242" s="1"/>
  <c r="K110" i="242"/>
  <c r="G117" i="242"/>
  <c r="F110" i="242"/>
  <c r="D75" i="242"/>
  <c r="I130" i="242"/>
  <c r="J130" i="242" s="1"/>
  <c r="J45" i="242"/>
  <c r="I111" i="242"/>
  <c r="J111" i="242"/>
  <c r="I63" i="242"/>
  <c r="J63" i="242" s="1"/>
  <c r="E7" i="242"/>
  <c r="I99" i="242"/>
  <c r="J99" i="242"/>
  <c r="G32" i="241"/>
  <c r="I24" i="330"/>
  <c r="J24" i="330"/>
  <c r="K30" i="241"/>
  <c r="C7" i="241"/>
  <c r="C6" i="241"/>
  <c r="C26" i="241"/>
  <c r="I67" i="330"/>
  <c r="J67" i="330"/>
  <c r="D197" i="330"/>
  <c r="D11" i="241"/>
  <c r="C21" i="241"/>
  <c r="I226" i="330"/>
  <c r="J226" i="330" s="1"/>
  <c r="G9" i="241"/>
  <c r="I9" i="241"/>
  <c r="J9" i="241"/>
  <c r="E8" i="241"/>
  <c r="D6" i="330"/>
  <c r="C53" i="182"/>
  <c r="D28" i="174"/>
  <c r="D11" i="267"/>
  <c r="I53" i="242"/>
  <c r="J53" i="242"/>
  <c r="I114" i="242"/>
  <c r="J114" i="242" s="1"/>
  <c r="D36" i="241"/>
  <c r="I53" i="325"/>
  <c r="J53" i="325"/>
  <c r="F7" i="242"/>
  <c r="C221" i="330"/>
  <c r="C197" i="330"/>
  <c r="C128" i="330"/>
  <c r="C99" i="330"/>
  <c r="C75" i="330"/>
  <c r="C125" i="330"/>
  <c r="C10" i="241"/>
  <c r="D39" i="174"/>
  <c r="O52" i="317"/>
  <c r="O54" i="317"/>
  <c r="O56" i="317"/>
  <c r="P55" i="317"/>
  <c r="P56" i="317"/>
  <c r="Q55" i="317"/>
  <c r="Q56" i="317"/>
  <c r="D31" i="183"/>
  <c r="E7" i="272"/>
  <c r="G8" i="334"/>
  <c r="C49" i="318"/>
  <c r="C104" i="318"/>
  <c r="G65" i="317"/>
  <c r="G52" i="317"/>
  <c r="J14" i="180"/>
  <c r="F38" i="334"/>
  <c r="G38" i="334"/>
  <c r="G39" i="334"/>
  <c r="C6" i="272"/>
  <c r="C36" i="267"/>
  <c r="E52" i="174"/>
  <c r="E49" i="174"/>
  <c r="E10" i="174"/>
  <c r="G48" i="241"/>
  <c r="H35" i="272"/>
  <c r="I295" i="323"/>
  <c r="J295" i="323"/>
  <c r="H52" i="317"/>
  <c r="H54" i="317"/>
  <c r="H66" i="317"/>
  <c r="H65" i="317"/>
  <c r="D13" i="174"/>
  <c r="A20" i="268"/>
  <c r="A160" i="323"/>
  <c r="A38" i="272"/>
  <c r="A303" i="324"/>
  <c r="A38" i="268"/>
  <c r="A328" i="323"/>
  <c r="G18" i="334"/>
  <c r="G117" i="335"/>
  <c r="I117" i="335"/>
  <c r="J117" i="335"/>
  <c r="I118" i="335"/>
  <c r="J118" i="335"/>
  <c r="P65" i="317"/>
  <c r="P52" i="317"/>
  <c r="P54" i="317"/>
  <c r="H14" i="272"/>
  <c r="D45" i="174"/>
  <c r="D7" i="174"/>
  <c r="B18" i="267"/>
  <c r="B19" i="267"/>
  <c r="J36" i="267"/>
  <c r="H52" i="174"/>
  <c r="F39" i="177"/>
  <c r="E99" i="330"/>
  <c r="E22" i="241"/>
  <c r="A207" i="323"/>
  <c r="A23" i="324"/>
  <c r="A27" i="272"/>
  <c r="A182" i="324"/>
  <c r="C28" i="334"/>
  <c r="G32" i="334"/>
  <c r="F31" i="334"/>
  <c r="G138" i="242"/>
  <c r="H75" i="326"/>
  <c r="G110" i="326"/>
  <c r="I110" i="326"/>
  <c r="J110" i="326"/>
  <c r="I111" i="326"/>
  <c r="J111" i="326"/>
  <c r="C7" i="333"/>
  <c r="C75" i="333"/>
  <c r="B11" i="267"/>
  <c r="B39" i="267"/>
  <c r="C41" i="178"/>
  <c r="C43" i="178"/>
  <c r="C54" i="178"/>
  <c r="B99" i="100"/>
  <c r="B94" i="100"/>
  <c r="A18" i="268"/>
  <c r="A18" i="272"/>
  <c r="A251" i="323"/>
  <c r="A13" i="272"/>
  <c r="D28" i="334"/>
  <c r="D49" i="334"/>
  <c r="K110" i="325"/>
  <c r="K7" i="335"/>
  <c r="I53" i="333"/>
  <c r="J53" i="333" s="1"/>
  <c r="D221" i="330"/>
  <c r="I13" i="242"/>
  <c r="J13" i="242" s="1"/>
  <c r="B3" i="100"/>
  <c r="A39" i="323"/>
  <c r="B98" i="100"/>
  <c r="A149" i="324"/>
  <c r="A28" i="268"/>
  <c r="A13" i="268"/>
  <c r="A6" i="268"/>
  <c r="A7" i="324"/>
  <c r="A32" i="272"/>
  <c r="A9" i="272"/>
  <c r="A138" i="323"/>
  <c r="A50" i="323"/>
  <c r="B77" i="100"/>
  <c r="B93" i="100"/>
  <c r="E31" i="183"/>
  <c r="C63" i="268"/>
  <c r="C29" i="267"/>
  <c r="C33" i="267"/>
  <c r="D18" i="267"/>
  <c r="C6" i="330"/>
  <c r="G34" i="272"/>
  <c r="I251" i="323"/>
  <c r="J251" i="323"/>
  <c r="A35" i="268"/>
  <c r="A35" i="272"/>
  <c r="A270" i="324"/>
  <c r="A14" i="268"/>
  <c r="A24" i="268"/>
  <c r="E28" i="334"/>
  <c r="E49" i="334"/>
  <c r="G46" i="334"/>
  <c r="C7" i="242"/>
  <c r="C166" i="242"/>
  <c r="C171" i="242" s="1"/>
  <c r="C7" i="335"/>
  <c r="C166" i="335"/>
  <c r="D7" i="242"/>
  <c r="C110" i="325"/>
  <c r="C166" i="325"/>
  <c r="I114" i="325"/>
  <c r="J114" i="325"/>
  <c r="I140" i="325"/>
  <c r="J140" i="325"/>
  <c r="I135" i="335"/>
  <c r="J135" i="335"/>
  <c r="G31" i="334"/>
  <c r="C29" i="241"/>
  <c r="C49" i="241"/>
  <c r="C50" i="241"/>
  <c r="C26" i="330"/>
  <c r="C16" i="241"/>
  <c r="C148" i="330"/>
  <c r="C247" i="330"/>
  <c r="C257" i="330"/>
  <c r="C39" i="241"/>
  <c r="C20" i="241"/>
  <c r="C43" i="241"/>
  <c r="C33" i="241"/>
  <c r="D30" i="241"/>
  <c r="D29" i="241"/>
  <c r="D128" i="330"/>
  <c r="I28" i="177"/>
  <c r="J28" i="177" s="1"/>
  <c r="P66" i="317"/>
  <c r="K68" i="318"/>
  <c r="I67" i="318"/>
  <c r="J67" i="318" s="1"/>
  <c r="I29" i="183"/>
  <c r="I31" i="183"/>
  <c r="G31" i="183"/>
  <c r="D2" i="269"/>
  <c r="D2" i="326"/>
  <c r="I65" i="317"/>
  <c r="G22" i="334"/>
  <c r="C54" i="317"/>
  <c r="C56" i="317"/>
  <c r="D55" i="317"/>
  <c r="D56" i="317"/>
  <c r="E55" i="317"/>
  <c r="L52" i="317"/>
  <c r="L54" i="317"/>
  <c r="L66" i="317"/>
  <c r="L65" i="317"/>
  <c r="D2" i="270"/>
  <c r="D2" i="241"/>
  <c r="D2" i="183"/>
  <c r="D2" i="330"/>
  <c r="C2" i="317"/>
  <c r="D2" i="177"/>
  <c r="E47" i="318"/>
  <c r="J65" i="317"/>
  <c r="G18" i="272"/>
  <c r="G50" i="267"/>
  <c r="H20" i="272"/>
  <c r="I116" i="323"/>
  <c r="J116" i="323"/>
  <c r="A196" i="323"/>
  <c r="A8" i="268"/>
  <c r="B33" i="267"/>
  <c r="A12" i="268"/>
  <c r="A240" i="323"/>
  <c r="G110" i="325"/>
  <c r="D110" i="333"/>
  <c r="C7" i="326"/>
  <c r="F75" i="325"/>
  <c r="I138" i="325"/>
  <c r="J138" i="325"/>
  <c r="G75" i="325"/>
  <c r="I148" i="335"/>
  <c r="J148" i="335" s="1"/>
  <c r="J29" i="183"/>
  <c r="J31" i="183"/>
  <c r="B102" i="100"/>
  <c r="A1" i="172"/>
  <c r="D2" i="318"/>
  <c r="D2" i="272"/>
  <c r="D2" i="182"/>
  <c r="D2" i="268"/>
  <c r="D2" i="178"/>
  <c r="C2" i="173"/>
  <c r="C2" i="175"/>
  <c r="D2" i="335"/>
  <c r="E2" i="174"/>
  <c r="B14" i="100"/>
  <c r="Q3" i="317"/>
  <c r="D2" i="325"/>
  <c r="D2" i="181"/>
  <c r="C2" i="180"/>
  <c r="A53" i="172"/>
  <c r="A104" i="172"/>
  <c r="D2" i="324"/>
  <c r="C2" i="334"/>
  <c r="B2" i="100"/>
  <c r="B2" i="267"/>
  <c r="X38" i="329"/>
  <c r="C2" i="324"/>
  <c r="A15" i="175"/>
  <c r="B2" i="180"/>
  <c r="B2" i="172"/>
  <c r="C2" i="178"/>
  <c r="C2" i="318"/>
  <c r="C2" i="323"/>
  <c r="C2" i="335"/>
  <c r="B77" i="172"/>
  <c r="C2" i="270"/>
  <c r="C2" i="177"/>
  <c r="C2" i="242"/>
  <c r="C2" i="333"/>
  <c r="C2" i="326"/>
  <c r="A54" i="172"/>
  <c r="A103" i="172"/>
  <c r="C2" i="182"/>
  <c r="C2" i="325"/>
  <c r="C2" i="183"/>
  <c r="C3" i="334"/>
  <c r="C2" i="181"/>
  <c r="C2" i="241"/>
  <c r="C2" i="272"/>
  <c r="C2" i="330"/>
  <c r="C256" i="330"/>
  <c r="C248" i="330"/>
  <c r="G14" i="272"/>
  <c r="I14" i="272"/>
  <c r="J14" i="272"/>
  <c r="B43" i="267"/>
  <c r="C39" i="177"/>
  <c r="C41" i="177"/>
  <c r="B46" i="267"/>
  <c r="D2" i="174"/>
  <c r="C2" i="268"/>
  <c r="C2" i="269"/>
  <c r="H34" i="272"/>
  <c r="I34" i="272"/>
  <c r="J34" i="272"/>
  <c r="I110" i="325"/>
  <c r="J110" i="325"/>
  <c r="E100" i="318"/>
  <c r="E102" i="318"/>
  <c r="C49" i="334"/>
  <c r="G36" i="272"/>
  <c r="I306" i="323"/>
  <c r="J306" i="323"/>
  <c r="G41" i="334"/>
  <c r="F47" i="334"/>
  <c r="G47" i="334"/>
  <c r="F7" i="174"/>
  <c r="B20" i="267"/>
  <c r="B23" i="267"/>
  <c r="B25" i="267"/>
  <c r="E12" i="272"/>
  <c r="D2" i="242"/>
  <c r="C77" i="172"/>
  <c r="D2" i="323"/>
  <c r="C2" i="267"/>
  <c r="D2" i="333"/>
  <c r="F16" i="334"/>
  <c r="K52" i="317"/>
  <c r="K65" i="317"/>
  <c r="E106" i="318"/>
  <c r="E49" i="318"/>
  <c r="E104" i="318" s="1"/>
  <c r="E105" i="318" s="1"/>
  <c r="F31" i="183"/>
  <c r="H6" i="267"/>
  <c r="I6" i="267" s="1"/>
  <c r="G9" i="272"/>
  <c r="C47" i="334"/>
  <c r="I38" i="272"/>
  <c r="J38" i="272"/>
  <c r="K7" i="333"/>
  <c r="E75" i="325"/>
  <c r="I114" i="333"/>
  <c r="J114" i="333"/>
  <c r="G110" i="333"/>
  <c r="I110" i="333"/>
  <c r="J110" i="333"/>
  <c r="E110" i="335"/>
  <c r="C110" i="333"/>
  <c r="C166" i="333"/>
  <c r="I140" i="335"/>
  <c r="J140" i="335" s="1"/>
  <c r="G138" i="335"/>
  <c r="I138" i="335" s="1"/>
  <c r="J138" i="335" s="1"/>
  <c r="I118" i="325"/>
  <c r="J118" i="325" s="1"/>
  <c r="E7" i="335"/>
  <c r="O12" i="238"/>
  <c r="E50" i="318"/>
  <c r="G16" i="334"/>
  <c r="F28" i="334"/>
  <c r="F49" i="334"/>
  <c r="G49" i="334"/>
  <c r="G28" i="334"/>
  <c r="D63" i="268"/>
  <c r="I37" i="272"/>
  <c r="J37" i="272"/>
  <c r="I273" i="323"/>
  <c r="J273" i="323"/>
  <c r="D339" i="323"/>
  <c r="C339" i="323"/>
  <c r="W340" i="323"/>
  <c r="C25" i="272"/>
  <c r="C39" i="272"/>
  <c r="P340" i="323"/>
  <c r="R340" i="323"/>
  <c r="T340" i="323"/>
  <c r="L340" i="323"/>
  <c r="O340" i="323"/>
  <c r="G20" i="272"/>
  <c r="I20" i="272"/>
  <c r="J20" i="272"/>
  <c r="H19" i="272"/>
  <c r="I19" i="272"/>
  <c r="J19" i="272"/>
  <c r="H18" i="272"/>
  <c r="I18" i="272"/>
  <c r="J18" i="272"/>
  <c r="C21" i="272"/>
  <c r="C171" i="323"/>
  <c r="C341" i="323"/>
  <c r="A218" i="323"/>
  <c r="A28" i="272"/>
  <c r="A10" i="272"/>
  <c r="A10" i="268"/>
  <c r="D39" i="272"/>
  <c r="D171" i="323"/>
  <c r="D8" i="272"/>
  <c r="D38" i="241"/>
  <c r="D99" i="330"/>
  <c r="D16" i="241"/>
  <c r="D15" i="241"/>
  <c r="D6" i="241"/>
  <c r="C40" i="272"/>
  <c r="G54" i="317"/>
  <c r="G66" i="317"/>
  <c r="M54" i="317"/>
  <c r="M66" i="317"/>
  <c r="O66" i="317"/>
  <c r="D38" i="181"/>
  <c r="D42" i="181"/>
  <c r="D44" i="181"/>
  <c r="D75" i="333"/>
  <c r="I57" i="270"/>
  <c r="J57" i="270"/>
  <c r="E13" i="174"/>
  <c r="J38" i="267"/>
  <c r="G41" i="178"/>
  <c r="D41" i="178"/>
  <c r="E14" i="174"/>
  <c r="I123" i="324"/>
  <c r="J123" i="324"/>
  <c r="I79" i="324"/>
  <c r="J79" i="324"/>
  <c r="I112" i="324"/>
  <c r="J112" i="324"/>
  <c r="I57" i="324"/>
  <c r="J57" i="324"/>
  <c r="I46" i="324"/>
  <c r="J46" i="324"/>
  <c r="I101" i="324"/>
  <c r="J101" i="324"/>
  <c r="I68" i="324"/>
  <c r="J68" i="324"/>
  <c r="D145" i="324"/>
  <c r="I18" i="268"/>
  <c r="J18" i="268"/>
  <c r="M315" i="324"/>
  <c r="O315" i="324"/>
  <c r="I12" i="268"/>
  <c r="J12" i="268"/>
  <c r="I14" i="268"/>
  <c r="J14" i="268"/>
  <c r="L315" i="324"/>
  <c r="N315" i="324"/>
  <c r="P315" i="324"/>
  <c r="R315" i="324"/>
  <c r="Q315" i="324"/>
  <c r="W315" i="324"/>
  <c r="I13" i="268"/>
  <c r="J13" i="268"/>
  <c r="H29" i="324"/>
  <c r="H10" i="268" s="1"/>
  <c r="V315" i="324"/>
  <c r="I226" i="324"/>
  <c r="J226" i="324"/>
  <c r="K145" i="324"/>
  <c r="S315" i="324"/>
  <c r="C21" i="268"/>
  <c r="D21" i="268"/>
  <c r="H18" i="324"/>
  <c r="H19" i="268"/>
  <c r="I19" i="268"/>
  <c r="J19" i="268"/>
  <c r="I281" i="324"/>
  <c r="I17" i="268"/>
  <c r="J17" i="268"/>
  <c r="C314" i="324"/>
  <c r="T315" i="324"/>
  <c r="D39" i="268"/>
  <c r="U315" i="324"/>
  <c r="H34" i="268"/>
  <c r="I259" i="324"/>
  <c r="C39" i="268"/>
  <c r="H27" i="268"/>
  <c r="I182" i="324"/>
  <c r="J182" i="324" s="1"/>
  <c r="D314" i="324"/>
  <c r="K314" i="324"/>
  <c r="C145" i="324"/>
  <c r="G16" i="268"/>
  <c r="I16" i="268"/>
  <c r="J16" i="268"/>
  <c r="G30" i="268"/>
  <c r="I215" i="324"/>
  <c r="H35" i="268"/>
  <c r="I270" i="324"/>
  <c r="H15" i="268"/>
  <c r="I15" i="268"/>
  <c r="J15" i="268"/>
  <c r="H7" i="324"/>
  <c r="H6" i="268" s="1"/>
  <c r="H12" i="324"/>
  <c r="I14" i="324"/>
  <c r="J14" i="324" s="1"/>
  <c r="H32" i="268"/>
  <c r="I237" i="324"/>
  <c r="H37" i="268"/>
  <c r="I292" i="324"/>
  <c r="G10" i="268"/>
  <c r="G20" i="268"/>
  <c r="I20" i="268"/>
  <c r="J20" i="268"/>
  <c r="G24" i="268"/>
  <c r="I149" i="324"/>
  <c r="J149" i="324" s="1"/>
  <c r="G33" i="268"/>
  <c r="I248" i="324"/>
  <c r="G38" i="268"/>
  <c r="I303" i="324"/>
  <c r="H23" i="324"/>
  <c r="H9" i="268" s="1"/>
  <c r="K26" i="330"/>
  <c r="K13" i="241"/>
  <c r="H8" i="269"/>
  <c r="H17" i="269"/>
  <c r="E66" i="317"/>
  <c r="E56" i="317"/>
  <c r="F55" i="317"/>
  <c r="F56" i="317"/>
  <c r="G55" i="317"/>
  <c r="G56" i="317"/>
  <c r="H55" i="317"/>
  <c r="H56" i="317"/>
  <c r="I55" i="317"/>
  <c r="I56" i="317"/>
  <c r="J55" i="317"/>
  <c r="J56" i="317"/>
  <c r="K55" i="317"/>
  <c r="K56" i="317"/>
  <c r="L55" i="317"/>
  <c r="L56" i="317"/>
  <c r="M55" i="317"/>
  <c r="M56" i="317"/>
  <c r="N55" i="317"/>
  <c r="I66" i="317"/>
  <c r="K66" i="317"/>
  <c r="N21" i="317"/>
  <c r="D49" i="318"/>
  <c r="D50" i="318"/>
  <c r="H140" i="333"/>
  <c r="H138" i="333" s="1"/>
  <c r="I100" i="333"/>
  <c r="J100" i="333" s="1"/>
  <c r="I28" i="333"/>
  <c r="J28" i="333" s="1"/>
  <c r="I19" i="333"/>
  <c r="J19" i="333" s="1"/>
  <c r="I114" i="335"/>
  <c r="J114" i="335"/>
  <c r="H110" i="335"/>
  <c r="I110" i="335"/>
  <c r="J110" i="335"/>
  <c r="I115" i="335"/>
  <c r="J115" i="335"/>
  <c r="H103" i="335"/>
  <c r="H76" i="335"/>
  <c r="H75" i="335" s="1"/>
  <c r="I55" i="335"/>
  <c r="J55" i="335"/>
  <c r="I41" i="335"/>
  <c r="J41" i="335" s="1"/>
  <c r="I21" i="335"/>
  <c r="J21" i="335"/>
  <c r="H35" i="324"/>
  <c r="H11" i="268" s="1"/>
  <c r="I27" i="324"/>
  <c r="J27" i="324" s="1"/>
  <c r="H57" i="268"/>
  <c r="I57" i="268" s="1"/>
  <c r="J57" i="268" s="1"/>
  <c r="I49" i="268"/>
  <c r="J49" i="268" s="1"/>
  <c r="I45" i="268"/>
  <c r="J45" i="268" s="1"/>
  <c r="H235" i="330"/>
  <c r="I223" i="330"/>
  <c r="J223" i="330" s="1"/>
  <c r="I179" i="330"/>
  <c r="J179" i="330" s="1"/>
  <c r="H171" i="330"/>
  <c r="I171" i="330" s="1"/>
  <c r="J171" i="330" s="1"/>
  <c r="H118" i="330"/>
  <c r="H25" i="241" s="1"/>
  <c r="I88" i="330"/>
  <c r="J88" i="330" s="1"/>
  <c r="C316" i="324"/>
  <c r="C40" i="268"/>
  <c r="B28" i="267"/>
  <c r="D316" i="324"/>
  <c r="I31" i="268"/>
  <c r="J31" i="268"/>
  <c r="D40" i="268"/>
  <c r="J281" i="324"/>
  <c r="I36" i="268"/>
  <c r="J36" i="268"/>
  <c r="I38" i="268"/>
  <c r="J38" i="268"/>
  <c r="J303" i="324"/>
  <c r="I27" i="268"/>
  <c r="J27" i="268" s="1"/>
  <c r="I30" i="268"/>
  <c r="J30" i="268"/>
  <c r="J215" i="324"/>
  <c r="J248" i="324"/>
  <c r="I33" i="268"/>
  <c r="J33" i="268"/>
  <c r="I32" i="268"/>
  <c r="J32" i="268"/>
  <c r="J237" i="324"/>
  <c r="J292" i="324"/>
  <c r="I37" i="268"/>
  <c r="J37" i="268"/>
  <c r="I35" i="268"/>
  <c r="J35" i="268"/>
  <c r="J270" i="324"/>
  <c r="I34" i="268"/>
  <c r="J34" i="268"/>
  <c r="J259" i="324"/>
  <c r="H47" i="241"/>
  <c r="D86" i="268"/>
  <c r="E46" i="174"/>
  <c r="E8" i="174"/>
  <c r="C86" i="268"/>
  <c r="D46" i="174"/>
  <c r="D8" i="174"/>
  <c r="C28" i="267"/>
  <c r="G8" i="272"/>
  <c r="D43" i="178"/>
  <c r="D54" i="178"/>
  <c r="C37" i="267"/>
  <c r="G26" i="178"/>
  <c r="H39" i="174" s="1"/>
  <c r="N24" i="238"/>
  <c r="H45" i="335"/>
  <c r="H27" i="335"/>
  <c r="I17" i="335"/>
  <c r="J17" i="335" s="1"/>
  <c r="D7" i="335"/>
  <c r="D166" i="335"/>
  <c r="I149" i="333"/>
  <c r="J149" i="333" s="1"/>
  <c r="H118" i="333"/>
  <c r="H117" i="333" s="1"/>
  <c r="H99" i="333"/>
  <c r="H76" i="333"/>
  <c r="D7" i="333"/>
  <c r="D166" i="333"/>
  <c r="H8" i="333"/>
  <c r="H103" i="325"/>
  <c r="I103" i="325" s="1"/>
  <c r="J103" i="325" s="1"/>
  <c r="D166" i="325"/>
  <c r="D166" i="326"/>
  <c r="I9" i="326"/>
  <c r="J9" i="326" s="1"/>
  <c r="H140" i="242"/>
  <c r="I140" i="242" s="1"/>
  <c r="J140" i="242" s="1"/>
  <c r="H76" i="242"/>
  <c r="G9" i="180"/>
  <c r="C30" i="172"/>
  <c r="C29" i="172"/>
  <c r="J6" i="180"/>
  <c r="N33" i="317"/>
  <c r="N52" i="317"/>
  <c r="N54" i="317"/>
  <c r="N65" i="317"/>
  <c r="K49" i="318"/>
  <c r="K50" i="318" s="1"/>
  <c r="I58" i="269"/>
  <c r="J58" i="269"/>
  <c r="D62" i="269"/>
  <c r="I31" i="269"/>
  <c r="J31" i="269"/>
  <c r="D33" i="269"/>
  <c r="I29" i="269"/>
  <c r="J29" i="269"/>
  <c r="C62" i="269"/>
  <c r="I60" i="269"/>
  <c r="J60" i="269"/>
  <c r="K33" i="269"/>
  <c r="E62" i="269"/>
  <c r="F33" i="269"/>
  <c r="C33" i="269"/>
  <c r="I59" i="270"/>
  <c r="J59" i="270"/>
  <c r="I31" i="270"/>
  <c r="J31" i="270"/>
  <c r="I29" i="270"/>
  <c r="J29" i="270"/>
  <c r="C33" i="270"/>
  <c r="A31" i="334"/>
  <c r="F61" i="270"/>
  <c r="C61" i="270"/>
  <c r="A60" i="269"/>
  <c r="D61" i="270"/>
  <c r="D63" i="270" s="1"/>
  <c r="A58" i="269"/>
  <c r="I37" i="270"/>
  <c r="J37" i="270" s="1"/>
  <c r="K33" i="270"/>
  <c r="D33" i="270"/>
  <c r="H8" i="270"/>
  <c r="A45" i="269"/>
  <c r="C43" i="267"/>
  <c r="E45" i="174"/>
  <c r="E7" i="174"/>
  <c r="I33" i="182"/>
  <c r="J33" i="182" s="1"/>
  <c r="H22" i="181"/>
  <c r="G10" i="267"/>
  <c r="E55" i="174"/>
  <c r="D38" i="182"/>
  <c r="D42" i="182"/>
  <c r="D44" i="182"/>
  <c r="D46" i="182"/>
  <c r="D48" i="182"/>
  <c r="E11" i="174"/>
  <c r="D341" i="323"/>
  <c r="D21" i="272"/>
  <c r="D40" i="272"/>
  <c r="K221" i="330"/>
  <c r="D33" i="241"/>
  <c r="D49" i="241" s="1"/>
  <c r="D50" i="241" s="1"/>
  <c r="I113" i="330"/>
  <c r="J113" i="330" s="1"/>
  <c r="D20" i="241"/>
  <c r="H18" i="241"/>
  <c r="I60" i="330"/>
  <c r="J60" i="330" s="1"/>
  <c r="D10" i="241"/>
  <c r="D26" i="241"/>
  <c r="H49" i="330"/>
  <c r="H12" i="241" s="1"/>
  <c r="D26" i="330"/>
  <c r="D125" i="330"/>
  <c r="K8" i="241"/>
  <c r="A1" i="331"/>
  <c r="B4" i="331"/>
  <c r="B8" i="331"/>
  <c r="A1" i="328"/>
  <c r="H50" i="267"/>
  <c r="I50" i="267"/>
  <c r="J26" i="175"/>
  <c r="J27" i="175" s="1"/>
  <c r="I157" i="335"/>
  <c r="J157" i="335" s="1"/>
  <c r="H6" i="180"/>
  <c r="I6" i="180" s="1"/>
  <c r="C31" i="172"/>
  <c r="G10" i="180"/>
  <c r="N56" i="317"/>
  <c r="N66" i="317"/>
  <c r="C64" i="269"/>
  <c r="D64" i="269"/>
  <c r="C63" i="270"/>
  <c r="E17" i="174"/>
  <c r="E26" i="174"/>
  <c r="E28" i="174"/>
  <c r="E27" i="174"/>
  <c r="D256" i="330"/>
  <c r="C32" i="172"/>
  <c r="G11" i="180"/>
  <c r="C33" i="172"/>
  <c r="G12" i="180"/>
  <c r="C34" i="172"/>
  <c r="G13" i="180"/>
  <c r="G14" i="180"/>
  <c r="C35" i="172"/>
  <c r="G15" i="180"/>
  <c r="C36" i="172"/>
  <c r="G16" i="180"/>
  <c r="C37" i="172"/>
  <c r="G17" i="180"/>
  <c r="C39" i="172"/>
  <c r="C38" i="172"/>
  <c r="I92" i="318"/>
  <c r="J92" i="318" s="1"/>
  <c r="K106" i="318"/>
  <c r="K84" i="318"/>
  <c r="K102" i="318"/>
  <c r="D84" i="318"/>
  <c r="C19" i="267"/>
  <c r="C20" i="267"/>
  <c r="C23" i="267"/>
  <c r="C25" i="267"/>
  <c r="J16" i="267"/>
  <c r="I29" i="182"/>
  <c r="J29" i="182" s="1"/>
  <c r="F33" i="270" l="1"/>
  <c r="G33" i="270"/>
  <c r="I154" i="326"/>
  <c r="J154" i="326" s="1"/>
  <c r="F128" i="330"/>
  <c r="I87" i="330"/>
  <c r="J87" i="330" s="1"/>
  <c r="G39" i="177"/>
  <c r="G41" i="177" s="1"/>
  <c r="F46" i="267" s="1"/>
  <c r="I27" i="325"/>
  <c r="J27" i="325" s="1"/>
  <c r="I76" i="326"/>
  <c r="J76" i="326" s="1"/>
  <c r="F166" i="326"/>
  <c r="F26" i="175"/>
  <c r="F27" i="175" s="1"/>
  <c r="I45" i="335"/>
  <c r="J45" i="335" s="1"/>
  <c r="G7" i="325"/>
  <c r="G166" i="325" s="1"/>
  <c r="I14" i="180"/>
  <c r="B36" i="172"/>
  <c r="G33" i="269"/>
  <c r="G61" i="270"/>
  <c r="G63" i="270" s="1"/>
  <c r="I24" i="268"/>
  <c r="J24" i="268" s="1"/>
  <c r="I9" i="268"/>
  <c r="J9" i="268" s="1"/>
  <c r="H13" i="267"/>
  <c r="I13" i="267" s="1"/>
  <c r="I6" i="323"/>
  <c r="J6" i="323" s="1"/>
  <c r="I12" i="241"/>
  <c r="J12" i="241" s="1"/>
  <c r="G6" i="241"/>
  <c r="F7" i="241"/>
  <c r="I100" i="330"/>
  <c r="J100" i="330" s="1"/>
  <c r="I118" i="242"/>
  <c r="J118" i="242" s="1"/>
  <c r="H6" i="272"/>
  <c r="I6" i="272" s="1"/>
  <c r="J6" i="272" s="1"/>
  <c r="H15" i="180"/>
  <c r="I103" i="335"/>
  <c r="J103" i="335" s="1"/>
  <c r="G7" i="335"/>
  <c r="G75" i="333"/>
  <c r="I45" i="326"/>
  <c r="J45" i="326" s="1"/>
  <c r="G7" i="326"/>
  <c r="G166" i="326" s="1"/>
  <c r="B28" i="172"/>
  <c r="I30" i="318"/>
  <c r="J30" i="318" s="1"/>
  <c r="D26" i="175"/>
  <c r="D27" i="175" s="1"/>
  <c r="C50" i="267"/>
  <c r="H26" i="175"/>
  <c r="H27" i="175" s="1"/>
  <c r="I18" i="324"/>
  <c r="J18" i="324" s="1"/>
  <c r="F197" i="330"/>
  <c r="G6" i="330"/>
  <c r="I76" i="335"/>
  <c r="J76" i="335" s="1"/>
  <c r="H7" i="333"/>
  <c r="H45" i="267"/>
  <c r="I45" i="267" s="1"/>
  <c r="I171" i="324"/>
  <c r="I26" i="268" s="1"/>
  <c r="J26" i="268" s="1"/>
  <c r="G29" i="267"/>
  <c r="I47" i="268"/>
  <c r="J47" i="268" s="1"/>
  <c r="H12" i="267"/>
  <c r="I12" i="267" s="1"/>
  <c r="H9" i="267"/>
  <c r="I9" i="267" s="1"/>
  <c r="I218" i="323"/>
  <c r="J218" i="323" s="1"/>
  <c r="I209" i="330"/>
  <c r="J209" i="330" s="1"/>
  <c r="F102" i="318"/>
  <c r="M22" i="238"/>
  <c r="O18" i="238"/>
  <c r="J13" i="180"/>
  <c r="H12" i="180"/>
  <c r="I64" i="330"/>
  <c r="J64" i="330" s="1"/>
  <c r="K166" i="335"/>
  <c r="I148" i="333"/>
  <c r="J148" i="333" s="1"/>
  <c r="K75" i="333"/>
  <c r="K166" i="333"/>
  <c r="K7" i="325"/>
  <c r="K166" i="325" s="1"/>
  <c r="K166" i="326"/>
  <c r="K7" i="242"/>
  <c r="K166" i="242" s="1"/>
  <c r="I8" i="242"/>
  <c r="J8" i="242" s="1"/>
  <c r="K104" i="318"/>
  <c r="K105" i="318" s="1"/>
  <c r="K62" i="269"/>
  <c r="K64" i="269" s="1"/>
  <c r="K61" i="270"/>
  <c r="K63" i="270" s="1"/>
  <c r="J45" i="267"/>
  <c r="K41" i="177"/>
  <c r="J46" i="267" s="1"/>
  <c r="H10" i="174"/>
  <c r="H13" i="174"/>
  <c r="G43" i="178"/>
  <c r="G54" i="178" s="1"/>
  <c r="K21" i="268"/>
  <c r="K316" i="324"/>
  <c r="K39" i="268"/>
  <c r="J33" i="267"/>
  <c r="J18" i="267"/>
  <c r="J19" i="267" s="1"/>
  <c r="J11" i="267"/>
  <c r="H55" i="174"/>
  <c r="H27" i="174" s="1"/>
  <c r="K38" i="182"/>
  <c r="K42" i="182" s="1"/>
  <c r="K44" i="182" s="1"/>
  <c r="K46" i="182" s="1"/>
  <c r="K48" i="182" s="1"/>
  <c r="H17" i="174"/>
  <c r="H15" i="267"/>
  <c r="I15" i="267" s="1"/>
  <c r="K339" i="323"/>
  <c r="K39" i="272"/>
  <c r="K171" i="323"/>
  <c r="K21" i="272"/>
  <c r="I229" i="323"/>
  <c r="J229" i="323" s="1"/>
  <c r="I39" i="323"/>
  <c r="J39" i="323" s="1"/>
  <c r="I27" i="335"/>
  <c r="J27" i="335" s="1"/>
  <c r="I151" i="242"/>
  <c r="J151" i="242" s="1"/>
  <c r="F8" i="180"/>
  <c r="B29" i="172"/>
  <c r="B37" i="172"/>
  <c r="J15" i="180"/>
  <c r="F106" i="318"/>
  <c r="F49" i="318"/>
  <c r="G49" i="318"/>
  <c r="M24" i="238"/>
  <c r="L21" i="175"/>
  <c r="L14" i="175"/>
  <c r="G26" i="175"/>
  <c r="G27" i="175" s="1"/>
  <c r="F50" i="267"/>
  <c r="F63" i="268"/>
  <c r="E29" i="267"/>
  <c r="E33" i="267" s="1"/>
  <c r="G339" i="323"/>
  <c r="I28" i="272"/>
  <c r="J28" i="272" s="1"/>
  <c r="G24" i="272"/>
  <c r="G39" i="272" s="1"/>
  <c r="I9" i="272"/>
  <c r="J9" i="272" s="1"/>
  <c r="F75" i="330"/>
  <c r="F8" i="241"/>
  <c r="F6" i="241" s="1"/>
  <c r="I104" i="330"/>
  <c r="J104" i="330" s="1"/>
  <c r="G99" i="330"/>
  <c r="K197" i="330"/>
  <c r="K40" i="241"/>
  <c r="K39" i="241" s="1"/>
  <c r="K148" i="330"/>
  <c r="K247" i="330" s="1"/>
  <c r="K257" i="330" s="1"/>
  <c r="K33" i="241"/>
  <c r="K128" i="330"/>
  <c r="K31" i="241"/>
  <c r="K29" i="241" s="1"/>
  <c r="K20" i="241"/>
  <c r="K99" i="330"/>
  <c r="K75" i="330"/>
  <c r="K17" i="241"/>
  <c r="K16" i="241" s="1"/>
  <c r="K10" i="241"/>
  <c r="K6" i="330"/>
  <c r="K7" i="241"/>
  <c r="K6" i="241" s="1"/>
  <c r="E166" i="335"/>
  <c r="E7" i="333"/>
  <c r="E166" i="333" s="1"/>
  <c r="D102" i="318"/>
  <c r="D104" i="318" s="1"/>
  <c r="D105" i="318" s="1"/>
  <c r="D106" i="318"/>
  <c r="E33" i="269"/>
  <c r="E64" i="269" s="1"/>
  <c r="E61" i="270"/>
  <c r="E63" i="270" s="1"/>
  <c r="F10" i="174"/>
  <c r="E41" i="178"/>
  <c r="F53" i="174"/>
  <c r="F39" i="174"/>
  <c r="E43" i="178"/>
  <c r="E54" i="178" s="1"/>
  <c r="D37" i="267"/>
  <c r="E39" i="268"/>
  <c r="E314" i="324"/>
  <c r="E21" i="268"/>
  <c r="E145" i="324"/>
  <c r="E74" i="268"/>
  <c r="E63" i="268"/>
  <c r="D20" i="267"/>
  <c r="D23" i="267" s="1"/>
  <c r="D25" i="267" s="1"/>
  <c r="F28" i="174"/>
  <c r="F26" i="174"/>
  <c r="F17" i="174"/>
  <c r="E339" i="323"/>
  <c r="E39" i="272"/>
  <c r="E21" i="272"/>
  <c r="E40" i="272" s="1"/>
  <c r="E171" i="323"/>
  <c r="E341" i="323" s="1"/>
  <c r="E221" i="330"/>
  <c r="E43" i="241"/>
  <c r="E39" i="241"/>
  <c r="E197" i="330"/>
  <c r="D257" i="330"/>
  <c r="D248" i="330"/>
  <c r="E148" i="330"/>
  <c r="E33" i="241"/>
  <c r="E29" i="241"/>
  <c r="E128" i="330"/>
  <c r="E20" i="241"/>
  <c r="E16" i="241"/>
  <c r="E75" i="330"/>
  <c r="E26" i="330"/>
  <c r="E10" i="241"/>
  <c r="E6" i="241"/>
  <c r="I8" i="333"/>
  <c r="J8" i="333" s="1"/>
  <c r="I37" i="177"/>
  <c r="J37" i="177" s="1"/>
  <c r="I70" i="268"/>
  <c r="J70" i="268" s="1"/>
  <c r="I186" i="330"/>
  <c r="J186" i="330" s="1"/>
  <c r="H99" i="330"/>
  <c r="I92" i="330"/>
  <c r="J92" i="330" s="1"/>
  <c r="H75" i="330"/>
  <c r="G7" i="242"/>
  <c r="G166" i="242" s="1"/>
  <c r="H16" i="180"/>
  <c r="I12" i="180"/>
  <c r="J12" i="180"/>
  <c r="G74" i="268"/>
  <c r="I74" i="268" s="1"/>
  <c r="J74" i="268" s="1"/>
  <c r="F29" i="267"/>
  <c r="B61" i="100"/>
  <c r="A1" i="175" s="1"/>
  <c r="O20" i="238"/>
  <c r="O22" i="238" s="1"/>
  <c r="O24" i="238" s="1"/>
  <c r="G7" i="174"/>
  <c r="K21" i="175"/>
  <c r="G62" i="269"/>
  <c r="F64" i="269"/>
  <c r="G75" i="335"/>
  <c r="I75" i="335" s="1"/>
  <c r="J75" i="335" s="1"/>
  <c r="I99" i="333"/>
  <c r="J99" i="333" s="1"/>
  <c r="I17" i="325"/>
  <c r="J17" i="325" s="1"/>
  <c r="I38" i="242"/>
  <c r="J38" i="242" s="1"/>
  <c r="I17" i="180"/>
  <c r="J17" i="180"/>
  <c r="J16" i="180"/>
  <c r="I16" i="180"/>
  <c r="K15" i="173"/>
  <c r="J52" i="267" s="1"/>
  <c r="E53" i="172"/>
  <c r="K14" i="175"/>
  <c r="K26" i="175" s="1"/>
  <c r="K27" i="175" s="1"/>
  <c r="F44" i="267"/>
  <c r="H44" i="267" s="1"/>
  <c r="I44" i="267" s="1"/>
  <c r="H43" i="267"/>
  <c r="I43" i="267" s="1"/>
  <c r="G11" i="174"/>
  <c r="I193" i="324"/>
  <c r="I28" i="268" s="1"/>
  <c r="J28" i="268" s="1"/>
  <c r="H31" i="267"/>
  <c r="I31" i="267" s="1"/>
  <c r="E18" i="267"/>
  <c r="E19" i="267" s="1"/>
  <c r="F18" i="267"/>
  <c r="F19" i="267" s="1"/>
  <c r="H8" i="267"/>
  <c r="I8" i="267" s="1"/>
  <c r="I27" i="272"/>
  <c r="J27" i="272" s="1"/>
  <c r="I196" i="323"/>
  <c r="J196" i="323" s="1"/>
  <c r="I41" i="241"/>
  <c r="J41" i="241" s="1"/>
  <c r="F148" i="330"/>
  <c r="I129" i="330"/>
  <c r="J129" i="330" s="1"/>
  <c r="I118" i="330"/>
  <c r="J118" i="330" s="1"/>
  <c r="G23" i="241"/>
  <c r="I108" i="330"/>
  <c r="J108" i="330" s="1"/>
  <c r="F99" i="330"/>
  <c r="F21" i="241"/>
  <c r="F20" i="241" s="1"/>
  <c r="I76" i="330"/>
  <c r="J76" i="330" s="1"/>
  <c r="I17" i="241"/>
  <c r="J17" i="241" s="1"/>
  <c r="G75" i="330"/>
  <c r="F26" i="330"/>
  <c r="I8" i="335"/>
  <c r="J8" i="335" s="1"/>
  <c r="I140" i="333"/>
  <c r="J140" i="333" s="1"/>
  <c r="I118" i="333"/>
  <c r="J118" i="333" s="1"/>
  <c r="H138" i="242"/>
  <c r="I138" i="242" s="1"/>
  <c r="J138" i="242" s="1"/>
  <c r="H7" i="242"/>
  <c r="H33" i="269"/>
  <c r="H33" i="270"/>
  <c r="I10" i="268"/>
  <c r="J10" i="268" s="1"/>
  <c r="I29" i="324"/>
  <c r="J29" i="324" s="1"/>
  <c r="H8" i="268"/>
  <c r="I8" i="268" s="1"/>
  <c r="J8" i="268" s="1"/>
  <c r="I29" i="272"/>
  <c r="J29" i="272" s="1"/>
  <c r="H26" i="272"/>
  <c r="I26" i="272" s="1"/>
  <c r="J26" i="272" s="1"/>
  <c r="I10" i="272"/>
  <c r="J10" i="272" s="1"/>
  <c r="I28" i="323"/>
  <c r="J28" i="323" s="1"/>
  <c r="I146" i="330"/>
  <c r="J146" i="330" s="1"/>
  <c r="I230" i="330"/>
  <c r="J230" i="330" s="1"/>
  <c r="I36" i="241"/>
  <c r="J36" i="241" s="1"/>
  <c r="H30" i="241"/>
  <c r="I30" i="241" s="1"/>
  <c r="J30" i="241" s="1"/>
  <c r="H20" i="241"/>
  <c r="A1" i="241"/>
  <c r="G148" i="330"/>
  <c r="I177" i="330"/>
  <c r="J177" i="330" s="1"/>
  <c r="F40" i="267"/>
  <c r="F38" i="267"/>
  <c r="G10" i="174"/>
  <c r="F38" i="182"/>
  <c r="F42" i="182" s="1"/>
  <c r="F44" i="182" s="1"/>
  <c r="F46" i="182" s="1"/>
  <c r="F48" i="182" s="1"/>
  <c r="D104" i="172"/>
  <c r="C79" i="172"/>
  <c r="B79" i="172" s="1"/>
  <c r="C171" i="335"/>
  <c r="F166" i="242"/>
  <c r="D166" i="242"/>
  <c r="I76" i="242"/>
  <c r="J76" i="242" s="1"/>
  <c r="D171" i="326"/>
  <c r="D171" i="335"/>
  <c r="D171" i="242"/>
  <c r="C171" i="326"/>
  <c r="I152" i="242"/>
  <c r="J152" i="242" s="1"/>
  <c r="E75" i="242"/>
  <c r="E166" i="242" s="1"/>
  <c r="I117" i="242"/>
  <c r="J117" i="242" s="1"/>
  <c r="I148" i="242"/>
  <c r="J148" i="242" s="1"/>
  <c r="I103" i="242"/>
  <c r="J103" i="242" s="1"/>
  <c r="F7" i="335"/>
  <c r="F166" i="335" s="1"/>
  <c r="F117" i="333"/>
  <c r="G7" i="333"/>
  <c r="I27" i="333"/>
  <c r="J27" i="333" s="1"/>
  <c r="F7" i="333"/>
  <c r="F75" i="333"/>
  <c r="I157" i="333"/>
  <c r="J157" i="333" s="1"/>
  <c r="G138" i="333"/>
  <c r="I138" i="333" s="1"/>
  <c r="J138" i="333" s="1"/>
  <c r="G117" i="333"/>
  <c r="I117" i="333" s="1"/>
  <c r="J117" i="333" s="1"/>
  <c r="I17" i="333"/>
  <c r="J17" i="333" s="1"/>
  <c r="F166" i="325"/>
  <c r="I154" i="242"/>
  <c r="J154" i="242" s="1"/>
  <c r="H7" i="180"/>
  <c r="I7" i="180" s="1"/>
  <c r="I13" i="180"/>
  <c r="J7" i="180"/>
  <c r="H13" i="180"/>
  <c r="H17" i="180"/>
  <c r="F38" i="181"/>
  <c r="F42" i="181" s="1"/>
  <c r="F44" i="181" s="1"/>
  <c r="G38" i="181"/>
  <c r="G42" i="181" s="1"/>
  <c r="G44" i="181" s="1"/>
  <c r="I36" i="181"/>
  <c r="J36" i="181" s="1"/>
  <c r="G102" i="318"/>
  <c r="G106" i="318"/>
  <c r="I83" i="318"/>
  <c r="J83" i="318" s="1"/>
  <c r="I46" i="318"/>
  <c r="J46" i="318" s="1"/>
  <c r="I45" i="269"/>
  <c r="J45" i="269" s="1"/>
  <c r="F63" i="270"/>
  <c r="F41" i="178"/>
  <c r="G13" i="174"/>
  <c r="F36" i="267"/>
  <c r="F26" i="178"/>
  <c r="I204" i="324"/>
  <c r="G314" i="324"/>
  <c r="G39" i="268"/>
  <c r="F39" i="268"/>
  <c r="F314" i="324"/>
  <c r="I11" i="268"/>
  <c r="J11" i="268" s="1"/>
  <c r="I35" i="324"/>
  <c r="J35" i="324" s="1"/>
  <c r="G21" i="268"/>
  <c r="F21" i="268"/>
  <c r="G145" i="324"/>
  <c r="I12" i="324"/>
  <c r="J12" i="324" s="1"/>
  <c r="F145" i="324"/>
  <c r="H32" i="267"/>
  <c r="I32" i="267" s="1"/>
  <c r="G63" i="268"/>
  <c r="I43" i="268"/>
  <c r="J43" i="268" s="1"/>
  <c r="H22" i="267"/>
  <c r="I22" i="267" s="1"/>
  <c r="H21" i="267"/>
  <c r="I21" i="267" s="1"/>
  <c r="H14" i="267"/>
  <c r="I14" i="267" s="1"/>
  <c r="H16" i="267"/>
  <c r="I16" i="267" s="1"/>
  <c r="E11" i="267"/>
  <c r="H10" i="267"/>
  <c r="I10" i="267" s="1"/>
  <c r="F11" i="267"/>
  <c r="G53" i="182"/>
  <c r="H7" i="267"/>
  <c r="I7" i="267" s="1"/>
  <c r="G27" i="174"/>
  <c r="G28" i="174"/>
  <c r="G26" i="174"/>
  <c r="G17" i="174"/>
  <c r="I22" i="182"/>
  <c r="J22" i="182" s="1"/>
  <c r="G38" i="182"/>
  <c r="G42" i="182" s="1"/>
  <c r="G44" i="182" s="1"/>
  <c r="G46" i="182" s="1"/>
  <c r="G48" i="182" s="1"/>
  <c r="F39" i="272"/>
  <c r="I174" i="323"/>
  <c r="J174" i="323" s="1"/>
  <c r="F339" i="323"/>
  <c r="G171" i="323"/>
  <c r="I11" i="272"/>
  <c r="J11" i="272" s="1"/>
  <c r="I61" i="323"/>
  <c r="J61" i="323" s="1"/>
  <c r="I50" i="323"/>
  <c r="J50" i="323" s="1"/>
  <c r="G21" i="272"/>
  <c r="F21" i="272"/>
  <c r="I8" i="272"/>
  <c r="J8" i="272" s="1"/>
  <c r="F171" i="323"/>
  <c r="I235" i="330"/>
  <c r="J235" i="330" s="1"/>
  <c r="G221" i="330"/>
  <c r="I47" i="241"/>
  <c r="J47" i="241" s="1"/>
  <c r="I46" i="241"/>
  <c r="J46" i="241" s="1"/>
  <c r="F221" i="330"/>
  <c r="F43" i="241"/>
  <c r="G43" i="241"/>
  <c r="G39" i="241"/>
  <c r="F39" i="241"/>
  <c r="G197" i="330"/>
  <c r="I38" i="241"/>
  <c r="J38" i="241" s="1"/>
  <c r="F33" i="241"/>
  <c r="G33" i="241"/>
  <c r="G128" i="330"/>
  <c r="I32" i="241"/>
  <c r="J32" i="241" s="1"/>
  <c r="F29" i="241"/>
  <c r="G29" i="241"/>
  <c r="I25" i="241"/>
  <c r="J25" i="241" s="1"/>
  <c r="I24" i="241"/>
  <c r="J24" i="241" s="1"/>
  <c r="I23" i="241"/>
  <c r="J23" i="241" s="1"/>
  <c r="I22" i="241"/>
  <c r="J22" i="241" s="1"/>
  <c r="I21" i="241"/>
  <c r="J21" i="241" s="1"/>
  <c r="G20" i="241"/>
  <c r="G16" i="241"/>
  <c r="I18" i="241"/>
  <c r="J18" i="241" s="1"/>
  <c r="F16" i="241"/>
  <c r="I14" i="241"/>
  <c r="J14" i="241" s="1"/>
  <c r="I13" i="241"/>
  <c r="J13" i="241" s="1"/>
  <c r="F10" i="241"/>
  <c r="G10" i="241"/>
  <c r="I11" i="241"/>
  <c r="J11" i="241" s="1"/>
  <c r="I27" i="330"/>
  <c r="J27" i="330" s="1"/>
  <c r="G26" i="330"/>
  <c r="B95" i="100"/>
  <c r="H7" i="335"/>
  <c r="H75" i="333"/>
  <c r="I76" i="333"/>
  <c r="J76" i="333" s="1"/>
  <c r="H75" i="325"/>
  <c r="I75" i="325" s="1"/>
  <c r="J75" i="325" s="1"/>
  <c r="H7" i="325"/>
  <c r="I8" i="326"/>
  <c r="J8" i="326" s="1"/>
  <c r="H7" i="326"/>
  <c r="H75" i="242"/>
  <c r="I29" i="181"/>
  <c r="J29" i="181" s="1"/>
  <c r="H38" i="181"/>
  <c r="H42" i="181" s="1"/>
  <c r="I22" i="181"/>
  <c r="J22" i="181" s="1"/>
  <c r="H102" i="318"/>
  <c r="I99" i="318"/>
  <c r="J99" i="318" s="1"/>
  <c r="I88" i="318"/>
  <c r="J88" i="318" s="1"/>
  <c r="I34" i="318"/>
  <c r="J34" i="318" s="1"/>
  <c r="H106" i="318"/>
  <c r="H14" i="318"/>
  <c r="I36" i="269"/>
  <c r="J37" i="269"/>
  <c r="H36" i="269"/>
  <c r="H62" i="269" s="1"/>
  <c r="I17" i="269"/>
  <c r="J17" i="269" s="1"/>
  <c r="I8" i="269"/>
  <c r="H45" i="270"/>
  <c r="I45" i="270" s="1"/>
  <c r="J45" i="270" s="1"/>
  <c r="I36" i="270"/>
  <c r="I17" i="270"/>
  <c r="J17" i="270" s="1"/>
  <c r="J19" i="270"/>
  <c r="I8" i="270"/>
  <c r="J8" i="270" s="1"/>
  <c r="I18" i="177"/>
  <c r="J18" i="177" s="1"/>
  <c r="H39" i="177"/>
  <c r="H41" i="177" s="1"/>
  <c r="G46" i="267" s="1"/>
  <c r="H46" i="267" s="1"/>
  <c r="I46" i="267" s="1"/>
  <c r="H39" i="268"/>
  <c r="I160" i="324"/>
  <c r="H314" i="324"/>
  <c r="I23" i="324"/>
  <c r="J23" i="324" s="1"/>
  <c r="H7" i="268"/>
  <c r="I7" i="268" s="1"/>
  <c r="J7" i="268" s="1"/>
  <c r="H145" i="324"/>
  <c r="I6" i="268"/>
  <c r="I7" i="324"/>
  <c r="J7" i="324" s="1"/>
  <c r="G33" i="267"/>
  <c r="H53" i="268"/>
  <c r="I53" i="268" s="1"/>
  <c r="J53" i="268" s="1"/>
  <c r="H36" i="182"/>
  <c r="I30" i="182"/>
  <c r="J30" i="182" s="1"/>
  <c r="G11" i="267"/>
  <c r="I207" i="323"/>
  <c r="J207" i="323" s="1"/>
  <c r="H25" i="272"/>
  <c r="I25" i="272" s="1"/>
  <c r="J25" i="272" s="1"/>
  <c r="I185" i="323"/>
  <c r="J185" i="323" s="1"/>
  <c r="H339" i="323"/>
  <c r="I186" i="323"/>
  <c r="J186" i="323" s="1"/>
  <c r="I24" i="272"/>
  <c r="I17" i="323"/>
  <c r="J17" i="323" s="1"/>
  <c r="H7" i="272"/>
  <c r="H171" i="323"/>
  <c r="H240" i="330"/>
  <c r="I44" i="241"/>
  <c r="H43" i="241"/>
  <c r="I222" i="330"/>
  <c r="H221" i="330"/>
  <c r="H214" i="330"/>
  <c r="H198" i="330"/>
  <c r="H35" i="241"/>
  <c r="I35" i="241" s="1"/>
  <c r="J35" i="241" s="1"/>
  <c r="H149" i="330"/>
  <c r="H31" i="241"/>
  <c r="I132" i="330"/>
  <c r="J132" i="330" s="1"/>
  <c r="H128" i="330"/>
  <c r="I134" i="330"/>
  <c r="J134" i="330" s="1"/>
  <c r="H16" i="241"/>
  <c r="I19" i="241"/>
  <c r="J19" i="241" s="1"/>
  <c r="I55" i="330"/>
  <c r="J55" i="330" s="1"/>
  <c r="I49" i="330"/>
  <c r="J49" i="330" s="1"/>
  <c r="H10" i="241"/>
  <c r="H26" i="330"/>
  <c r="H8" i="241"/>
  <c r="I8" i="241" s="1"/>
  <c r="J8" i="241" s="1"/>
  <c r="I10" i="330"/>
  <c r="J10" i="330" s="1"/>
  <c r="I12" i="330"/>
  <c r="J12" i="330" s="1"/>
  <c r="I7" i="241"/>
  <c r="J7" i="241" s="1"/>
  <c r="H6" i="330"/>
  <c r="I7" i="330"/>
  <c r="J7" i="330" s="1"/>
  <c r="A1" i="269"/>
  <c r="A1" i="178"/>
  <c r="A1" i="251"/>
  <c r="A1" i="323"/>
  <c r="A1" i="177"/>
  <c r="A1" i="182"/>
  <c r="A1" i="268"/>
  <c r="A1" i="272"/>
  <c r="A1" i="267"/>
  <c r="A1" i="324"/>
  <c r="A1" i="330"/>
  <c r="D64" i="100"/>
  <c r="A1" i="333" l="1"/>
  <c r="A1" i="318"/>
  <c r="A1" i="238"/>
  <c r="G166" i="335"/>
  <c r="I7" i="325"/>
  <c r="J7" i="325" s="1"/>
  <c r="G64" i="269"/>
  <c r="I7" i="333"/>
  <c r="J7" i="333" s="1"/>
  <c r="A1" i="326"/>
  <c r="A1" i="183"/>
  <c r="A1" i="270"/>
  <c r="A1" i="173"/>
  <c r="A1" i="335"/>
  <c r="A1" i="334"/>
  <c r="I7" i="335"/>
  <c r="J7" i="335" s="1"/>
  <c r="I75" i="333"/>
  <c r="J75" i="333" s="1"/>
  <c r="I102" i="318"/>
  <c r="J102" i="318" s="1"/>
  <c r="F104" i="318"/>
  <c r="J171" i="324"/>
  <c r="H29" i="267"/>
  <c r="I29" i="267" s="1"/>
  <c r="A1" i="180"/>
  <c r="G341" i="323"/>
  <c r="K40" i="268"/>
  <c r="J28" i="267" s="1"/>
  <c r="J20" i="267"/>
  <c r="J23" i="267" s="1"/>
  <c r="J25" i="267" s="1"/>
  <c r="H26" i="174"/>
  <c r="H28" i="174"/>
  <c r="K341" i="323"/>
  <c r="K40" i="272"/>
  <c r="B30" i="172"/>
  <c r="F9" i="180"/>
  <c r="F10" i="180" s="1"/>
  <c r="F11" i="180" s="1"/>
  <c r="J8" i="180"/>
  <c r="H8" i="180"/>
  <c r="I8" i="180" s="1"/>
  <c r="G104" i="318"/>
  <c r="F33" i="267"/>
  <c r="H33" i="267" s="1"/>
  <c r="I33" i="267" s="1"/>
  <c r="I339" i="323"/>
  <c r="J339" i="323" s="1"/>
  <c r="I99" i="330"/>
  <c r="J99" i="330" s="1"/>
  <c r="I75" i="330"/>
  <c r="J75" i="330" s="1"/>
  <c r="K49" i="241"/>
  <c r="K125" i="330"/>
  <c r="K256" i="330" s="1"/>
  <c r="K26" i="241"/>
  <c r="F14" i="174"/>
  <c r="F13" i="174"/>
  <c r="E40" i="268"/>
  <c r="D28" i="267" s="1"/>
  <c r="E316" i="324"/>
  <c r="E171" i="242"/>
  <c r="E247" i="330"/>
  <c r="E257" i="330" s="1"/>
  <c r="E49" i="241"/>
  <c r="E26" i="241"/>
  <c r="E125" i="330"/>
  <c r="E256" i="330" s="1"/>
  <c r="A1" i="181"/>
  <c r="A1" i="317"/>
  <c r="A1" i="242"/>
  <c r="A1" i="325"/>
  <c r="A1" i="174"/>
  <c r="H39" i="272"/>
  <c r="J193" i="324"/>
  <c r="I7" i="242"/>
  <c r="J7" i="242" s="1"/>
  <c r="F247" i="330"/>
  <c r="F257" i="330" s="1"/>
  <c r="E20" i="267"/>
  <c r="E23" i="267" s="1"/>
  <c r="E25" i="267" s="1"/>
  <c r="J50" i="267"/>
  <c r="F40" i="268"/>
  <c r="F86" i="268" s="1"/>
  <c r="G247" i="330"/>
  <c r="G257" i="330" s="1"/>
  <c r="F125" i="330"/>
  <c r="F256" i="330" s="1"/>
  <c r="G125" i="330"/>
  <c r="G256" i="330" s="1"/>
  <c r="H166" i="333"/>
  <c r="H64" i="269"/>
  <c r="I33" i="269"/>
  <c r="J33" i="269" s="1"/>
  <c r="H21" i="268"/>
  <c r="H40" i="268" s="1"/>
  <c r="G28" i="267" s="1"/>
  <c r="G40" i="272"/>
  <c r="I26" i="330"/>
  <c r="J26" i="330" s="1"/>
  <c r="E171" i="326"/>
  <c r="E171" i="335"/>
  <c r="G166" i="333"/>
  <c r="F166" i="333"/>
  <c r="J8" i="269"/>
  <c r="G39" i="174"/>
  <c r="F43" i="178"/>
  <c r="F54" i="178" s="1"/>
  <c r="I314" i="324"/>
  <c r="J314" i="324" s="1"/>
  <c r="F316" i="324"/>
  <c r="J204" i="324"/>
  <c r="I29" i="268"/>
  <c r="J29" i="268" s="1"/>
  <c r="G40" i="268"/>
  <c r="G46" i="174" s="1"/>
  <c r="G8" i="174" s="1"/>
  <c r="G316" i="324"/>
  <c r="I63" i="268"/>
  <c r="F20" i="267"/>
  <c r="F23" i="267" s="1"/>
  <c r="F25" i="267" s="1"/>
  <c r="H11" i="267"/>
  <c r="I11" i="267" s="1"/>
  <c r="F341" i="323"/>
  <c r="F40" i="272"/>
  <c r="G49" i="241"/>
  <c r="F49" i="241"/>
  <c r="I20" i="241"/>
  <c r="J20" i="241" s="1"/>
  <c r="G26" i="241"/>
  <c r="I16" i="241"/>
  <c r="J16" i="241" s="1"/>
  <c r="F26" i="241"/>
  <c r="I10" i="241"/>
  <c r="J10" i="241" s="1"/>
  <c r="H166" i="335"/>
  <c r="H166" i="325"/>
  <c r="I166" i="325" s="1"/>
  <c r="J166" i="325" s="1"/>
  <c r="I7" i="326"/>
  <c r="J7" i="326" s="1"/>
  <c r="H166" i="326"/>
  <c r="I166" i="326" s="1"/>
  <c r="J166" i="326" s="1"/>
  <c r="H166" i="242"/>
  <c r="I166" i="242" s="1"/>
  <c r="J166" i="242" s="1"/>
  <c r="I75" i="242"/>
  <c r="J75" i="242" s="1"/>
  <c r="I38" i="181"/>
  <c r="J38" i="181" s="1"/>
  <c r="H44" i="181"/>
  <c r="I44" i="181" s="1"/>
  <c r="J44" i="181" s="1"/>
  <c r="I42" i="181"/>
  <c r="J42" i="181" s="1"/>
  <c r="I106" i="318"/>
  <c r="J106" i="318" s="1"/>
  <c r="I14" i="318"/>
  <c r="J14" i="318" s="1"/>
  <c r="H49" i="318"/>
  <c r="I62" i="269"/>
  <c r="J62" i="269" s="1"/>
  <c r="J36" i="269"/>
  <c r="H61" i="270"/>
  <c r="H63" i="270" s="1"/>
  <c r="J36" i="270"/>
  <c r="I61" i="270"/>
  <c r="I33" i="270"/>
  <c r="I25" i="268"/>
  <c r="J160" i="324"/>
  <c r="H316" i="324"/>
  <c r="I145" i="324"/>
  <c r="J145" i="324" s="1"/>
  <c r="J6" i="268"/>
  <c r="I21" i="268"/>
  <c r="H63" i="268"/>
  <c r="I36" i="182"/>
  <c r="H38" i="182"/>
  <c r="H42" i="182" s="1"/>
  <c r="H44" i="182" s="1"/>
  <c r="H46" i="182" s="1"/>
  <c r="H48" i="182" s="1"/>
  <c r="G18" i="267"/>
  <c r="J24" i="272"/>
  <c r="I39" i="272"/>
  <c r="I7" i="272"/>
  <c r="H21" i="272"/>
  <c r="I171" i="323"/>
  <c r="J171" i="323" s="1"/>
  <c r="H341" i="323"/>
  <c r="H48" i="241"/>
  <c r="I48" i="241" s="1"/>
  <c r="J48" i="241" s="1"/>
  <c r="I240" i="330"/>
  <c r="J240" i="330" s="1"/>
  <c r="I43" i="241"/>
  <c r="J43" i="241" s="1"/>
  <c r="J44" i="241"/>
  <c r="J222" i="330"/>
  <c r="I221" i="330"/>
  <c r="J221" i="330" s="1"/>
  <c r="I214" i="330"/>
  <c r="J214" i="330" s="1"/>
  <c r="H42" i="241"/>
  <c r="I42" i="241" s="1"/>
  <c r="J42" i="241" s="1"/>
  <c r="H197" i="330"/>
  <c r="I197" i="330" s="1"/>
  <c r="J197" i="330" s="1"/>
  <c r="H40" i="241"/>
  <c r="I198" i="330"/>
  <c r="J198" i="330" s="1"/>
  <c r="H34" i="241"/>
  <c r="H148" i="330"/>
  <c r="I148" i="330" s="1"/>
  <c r="J148" i="330" s="1"/>
  <c r="I149" i="330"/>
  <c r="J149" i="330" s="1"/>
  <c r="I31" i="241"/>
  <c r="J31" i="241" s="1"/>
  <c r="H29" i="241"/>
  <c r="I128" i="330"/>
  <c r="H6" i="241"/>
  <c r="I6" i="241" s="1"/>
  <c r="H125" i="330"/>
  <c r="I6" i="330"/>
  <c r="J6" i="330" s="1"/>
  <c r="I166" i="335" l="1"/>
  <c r="J166" i="335" s="1"/>
  <c r="H11" i="180"/>
  <c r="B33" i="172"/>
  <c r="J11" i="180"/>
  <c r="I11" i="180"/>
  <c r="B32" i="172"/>
  <c r="J10" i="180"/>
  <c r="H10" i="180"/>
  <c r="I10" i="180" s="1"/>
  <c r="I341" i="323"/>
  <c r="J341" i="323" s="1"/>
  <c r="K171" i="335"/>
  <c r="K171" i="242"/>
  <c r="K86" i="268"/>
  <c r="H46" i="174"/>
  <c r="H8" i="174" s="1"/>
  <c r="K171" i="326"/>
  <c r="J39" i="272"/>
  <c r="H9" i="180"/>
  <c r="I9" i="180" s="1"/>
  <c r="B31" i="172"/>
  <c r="J9" i="180"/>
  <c r="K50" i="241"/>
  <c r="K248" i="330"/>
  <c r="E86" i="268"/>
  <c r="F46" i="174"/>
  <c r="F8" i="174" s="1"/>
  <c r="E50" i="241"/>
  <c r="E248" i="330"/>
  <c r="H40" i="272"/>
  <c r="F248" i="330"/>
  <c r="G248" i="330"/>
  <c r="F171" i="335"/>
  <c r="F171" i="242"/>
  <c r="E28" i="267"/>
  <c r="I316" i="324"/>
  <c r="J316" i="324" s="1"/>
  <c r="F171" i="326"/>
  <c r="G86" i="268"/>
  <c r="F28" i="267"/>
  <c r="H28" i="267" s="1"/>
  <c r="I28" i="267" s="1"/>
  <c r="G171" i="335"/>
  <c r="G171" i="326"/>
  <c r="G171" i="242"/>
  <c r="I166" i="333"/>
  <c r="J166" i="333" s="1"/>
  <c r="I63" i="270"/>
  <c r="J63" i="270" s="1"/>
  <c r="J33" i="270"/>
  <c r="H86" i="268"/>
  <c r="J63" i="268"/>
  <c r="H26" i="241"/>
  <c r="F50" i="241"/>
  <c r="G50" i="241"/>
  <c r="H171" i="242"/>
  <c r="H171" i="335"/>
  <c r="H171" i="326"/>
  <c r="H104" i="318"/>
  <c r="I104" i="318" s="1"/>
  <c r="J104" i="318" s="1"/>
  <c r="I49" i="318"/>
  <c r="J49" i="318" s="1"/>
  <c r="I64" i="269"/>
  <c r="J64" i="269" s="1"/>
  <c r="J61" i="270"/>
  <c r="I39" i="268"/>
  <c r="J39" i="268" s="1"/>
  <c r="J25" i="268"/>
  <c r="J21" i="268"/>
  <c r="J36" i="182"/>
  <c r="I38" i="182"/>
  <c r="J38" i="182" s="1"/>
  <c r="H18" i="267"/>
  <c r="I18" i="267" s="1"/>
  <c r="G19" i="267"/>
  <c r="J7" i="272"/>
  <c r="I21" i="272"/>
  <c r="I40" i="241"/>
  <c r="J40" i="241" s="1"/>
  <c r="H39" i="241"/>
  <c r="I39" i="241" s="1"/>
  <c r="J39" i="241" s="1"/>
  <c r="H247" i="330"/>
  <c r="H257" i="330" s="1"/>
  <c r="H33" i="241"/>
  <c r="I33" i="241" s="1"/>
  <c r="J33" i="241" s="1"/>
  <c r="I34" i="241"/>
  <c r="J34" i="241" s="1"/>
  <c r="I29" i="241"/>
  <c r="J128" i="330"/>
  <c r="I247" i="330"/>
  <c r="I26" i="241"/>
  <c r="J6" i="241"/>
  <c r="H256" i="330"/>
  <c r="I125" i="330"/>
  <c r="I40" i="268" l="1"/>
  <c r="J40" i="268" s="1"/>
  <c r="H19" i="267"/>
  <c r="I19" i="267" s="1"/>
  <c r="G20" i="267"/>
  <c r="I40" i="272"/>
  <c r="J40" i="272" s="1"/>
  <c r="J21" i="272"/>
  <c r="H49" i="241"/>
  <c r="H50" i="241" s="1"/>
  <c r="H248" i="330"/>
  <c r="I248" i="330" s="1"/>
  <c r="J248" i="330" s="1"/>
  <c r="J247" i="330"/>
  <c r="I257" i="330"/>
  <c r="J29" i="241"/>
  <c r="I49" i="241"/>
  <c r="I256" i="330"/>
  <c r="J125" i="330"/>
  <c r="J26" i="241"/>
  <c r="H20" i="267" l="1"/>
  <c r="I20" i="267" s="1"/>
  <c r="G23" i="267"/>
  <c r="J49" i="241"/>
  <c r="I50" i="241"/>
  <c r="J50" i="241" s="1"/>
  <c r="H23" i="267" l="1"/>
  <c r="I23" i="267" s="1"/>
  <c r="G25" i="267"/>
  <c r="H25" i="267" s="1"/>
  <c r="I25" i="267" s="1"/>
</calcChain>
</file>

<file path=xl/sharedStrings.xml><?xml version="1.0" encoding="utf-8"?>
<sst xmlns="http://schemas.openxmlformats.org/spreadsheetml/2006/main" count="3000" uniqueCount="1472">
  <si>
    <t>Operating expenditure</t>
  </si>
  <si>
    <t>TOTAL LIABILITIES</t>
  </si>
  <si>
    <t>Other Cash Flows/Payments</t>
  </si>
  <si>
    <t>Sept</t>
  </si>
  <si>
    <t>Nov</t>
  </si>
  <si>
    <t>Dec</t>
  </si>
  <si>
    <t>Feb</t>
  </si>
  <si>
    <t>Debt to Equity</t>
  </si>
  <si>
    <t>Creditors Management</t>
  </si>
  <si>
    <t>Creditors System Efficiency</t>
  </si>
  <si>
    <t>S71K</t>
  </si>
  <si>
    <t>S71R</t>
  </si>
  <si>
    <t>Head60</t>
  </si>
  <si>
    <t>0-30 Days</t>
  </si>
  <si>
    <t>31-60 Days</t>
  </si>
  <si>
    <t>61-90 Days</t>
  </si>
  <si>
    <t>91-120 Days</t>
  </si>
  <si>
    <t>121-150 Dys</t>
  </si>
  <si>
    <t>151-180 Dys</t>
  </si>
  <si>
    <t>181 Dys-1 Yr</t>
  </si>
  <si>
    <t>Over 1Yr</t>
  </si>
  <si>
    <t>Grants:</t>
  </si>
  <si>
    <t>National - opex</t>
  </si>
  <si>
    <t>Provincial - opex</t>
  </si>
  <si>
    <t>National - capex</t>
  </si>
  <si>
    <t>Provincial - capex</t>
  </si>
  <si>
    <t>2007/08</t>
  </si>
  <si>
    <t>2008/09</t>
  </si>
  <si>
    <t>2009/10</t>
  </si>
  <si>
    <t>2007/08 Medium Term Revenue &amp; Expenditure Framework</t>
  </si>
  <si>
    <t>2008/09 Medium Term Revenue &amp; Expenditure Framework</t>
  </si>
  <si>
    <t>2009/10 Medium Term Revenue &amp; Expenditure Framework</t>
  </si>
  <si>
    <t>Budget Year 2007/08</t>
  </si>
  <si>
    <t>Budget Year 2008/09</t>
  </si>
  <si>
    <t>Budget Year 2009/10</t>
  </si>
  <si>
    <t>Budget Year +1 2008/09</t>
  </si>
  <si>
    <t>Budget Year +1 2009/10</t>
  </si>
  <si>
    <t>Budget Year +1 2010/11</t>
  </si>
  <si>
    <t>Budget Year +2 2009/10</t>
  </si>
  <si>
    <t>Budget Year +2 2010/11</t>
  </si>
  <si>
    <t>Budget Year +2 2011/12</t>
  </si>
  <si>
    <t>NOTE: This sheet should not be directly amended - select headings from sheet 'S'</t>
  </si>
  <si>
    <t>Prior year -1</t>
  </si>
  <si>
    <t>MTREF header name</t>
  </si>
  <si>
    <t>1st year of MTREF</t>
  </si>
  <si>
    <t>2nd year of MTREF</t>
  </si>
  <si>
    <t>3rd year of MTREF</t>
  </si>
  <si>
    <t>Year of approved budget</t>
  </si>
  <si>
    <t>Approved budget year</t>
  </si>
  <si>
    <t>Report header part name</t>
  </si>
  <si>
    <t>Municipal Infrastructure Grant (MIG)</t>
  </si>
  <si>
    <t>Budget</t>
  </si>
  <si>
    <t>1. Replace 'budget' heading with adjusted budget, or 'outcome' only for month/s complete</t>
  </si>
  <si>
    <t>2. Total of monthly amounts must always agree to the approved or adjusted budget</t>
  </si>
  <si>
    <t>Cash/cash equivalents at the month/year end</t>
  </si>
  <si>
    <t>Cash/cash equivalents at month/year end:</t>
  </si>
  <si>
    <t>Total</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</si>
  <si>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</si>
  <si>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</si>
  <si>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</si>
  <si>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</si>
  <si>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</si>
  <si>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</si>
  <si>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</si>
  <si>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</si>
  <si>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</si>
  <si>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Borrowings/Capital expenditure excl. transfers and grants</t>
  </si>
  <si>
    <t>% Volume (units purchased and generated less units sold)/units purchased and generated</t>
  </si>
  <si>
    <t>% Volume (units purchased and own source less units sold)/Total units purchased and own source</t>
  </si>
  <si>
    <t>Transfers and Grants</t>
  </si>
  <si>
    <t>Increase (decrease) in consumer deposits</t>
  </si>
  <si>
    <t>6. Include finance leases and PPP capital funding component of unitary payment - total borrowing/repayments to reconcile to changes in Table SA17</t>
  </si>
  <si>
    <t>Service charges - refuse revenue</t>
  </si>
  <si>
    <t>3. Amend 'cash-at-beginning' when prior year actual known (as part of the adjustments budget)</t>
  </si>
  <si>
    <t>Prior year totals for chart (same period)</t>
  </si>
  <si>
    <t>Insert name of municipal entity</t>
  </si>
  <si>
    <t>YESNO</t>
  </si>
  <si>
    <t>No</t>
  </si>
  <si>
    <t>% spend of Original Budget</t>
  </si>
  <si>
    <t>Financial Position</t>
  </si>
  <si>
    <t>Cash Flow</t>
  </si>
  <si>
    <t>Measureable performance</t>
  </si>
  <si>
    <t>Municipal Entities</t>
  </si>
  <si>
    <t>Interest &amp; principal paid/Operating Expenditure</t>
  </si>
  <si>
    <t>Principal paid</t>
  </si>
  <si>
    <t xml:space="preserve">Table C1 </t>
  </si>
  <si>
    <t xml:space="preserve">Table C2 </t>
  </si>
  <si>
    <t xml:space="preserve">Table C3 </t>
  </si>
  <si>
    <t xml:space="preserve">Table C4 </t>
  </si>
  <si>
    <t xml:space="preserve">Table C5 </t>
  </si>
  <si>
    <t xml:space="preserve">Table C6 </t>
  </si>
  <si>
    <t xml:space="preserve">Table C7 </t>
  </si>
  <si>
    <t xml:space="preserve">Chart C1 </t>
  </si>
  <si>
    <t xml:space="preserve">Chart C2 </t>
  </si>
  <si>
    <t xml:space="preserve">Chart C3 </t>
  </si>
  <si>
    <t xml:space="preserve">Chart C4 </t>
  </si>
  <si>
    <t xml:space="preserve">Chart C5 </t>
  </si>
  <si>
    <t xml:space="preserve">Supporting Table SC1 </t>
  </si>
  <si>
    <t xml:space="preserve">Supporting Table SC2 </t>
  </si>
  <si>
    <t xml:space="preserve">Supporting Table SC3 </t>
  </si>
  <si>
    <t xml:space="preserve">Supporting Table SC4 </t>
  </si>
  <si>
    <t xml:space="preserve">Supporting Table SC5 </t>
  </si>
  <si>
    <t xml:space="preserve">Supporting Table SC6 </t>
  </si>
  <si>
    <t xml:space="preserve">Supporting Table SC8 </t>
  </si>
  <si>
    <t xml:space="preserve">Supporting Table SC9 </t>
  </si>
  <si>
    <t xml:space="preserve">Supporting Table SC10 </t>
  </si>
  <si>
    <t xml:space="preserve">Supporting Table SC11 </t>
  </si>
  <si>
    <t xml:space="preserve">Supporting Table SC12 </t>
  </si>
  <si>
    <t>Executive and council</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</si>
  <si>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</si>
  <si>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</si>
  <si>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</si>
  <si>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</si>
  <si>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</si>
  <si>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</si>
  <si>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</si>
  <si>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</si>
  <si>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</si>
  <si>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Waste water management</t>
  </si>
  <si>
    <t>Waste management</t>
  </si>
  <si>
    <t>R thousand</t>
  </si>
  <si>
    <t>1. Insert 'Vote'; e.g. Department, if different to standard structure</t>
  </si>
  <si>
    <t>2. Must reconcile to Financial Performance ('Revenue and Expenditure by Standard Classification' and 'Revenue and Expenditure')</t>
  </si>
  <si>
    <t>3. Assign share in 'associate' to relevant Vote</t>
  </si>
  <si>
    <t>check revenue</t>
  </si>
  <si>
    <t>check expenditure</t>
  </si>
  <si>
    <t>Period of Investment</t>
  </si>
  <si>
    <t>Yrs/Months</t>
  </si>
  <si>
    <t>Municipality sub-total</t>
  </si>
  <si>
    <t>Entities</t>
  </si>
  <si>
    <t>Entities sub-total</t>
  </si>
  <si>
    <t>TOTAL INVESTMENTS AND INTEREST</t>
  </si>
  <si>
    <t>TOTAL EXPENDITURE OF TRANSFERS AND GRANTS</t>
  </si>
  <si>
    <t>TOTAL MANAGERS AND STAFF</t>
  </si>
  <si>
    <t>Total Revenue (excluding capital transfers and contributions)</t>
  </si>
  <si>
    <t>Reticulation</t>
  </si>
  <si>
    <t>Community wealth/Equity</t>
  </si>
  <si>
    <t>Total sources of capital funds</t>
  </si>
  <si>
    <t>Governance and administration</t>
  </si>
  <si>
    <t>1. Government Finance Statistics Functions and Sub-functions are standardised to assist the compilation of national and international accounts for comparison purposes</t>
  </si>
  <si>
    <t>2. Must reconcile to Monthly Budget Statement - Financial Performance Statement (standard classification)</t>
  </si>
  <si>
    <t>Surplus/(Deficit) attributable to municipality</t>
  </si>
  <si>
    <t>1. Material variances to be explained on Table SC1</t>
  </si>
  <si>
    <t>2. Include capital component of PPP unitary payment</t>
  </si>
  <si>
    <t>1. Municipalities may choose to appropriate for capital expenditure for three years or for one year (if one year appropriation projected expenditure required for yr2 and yr3).</t>
  </si>
  <si>
    <t>1. Material variances to be explained in Table SC1</t>
  </si>
  <si>
    <t>Type of Entities Range:</t>
  </si>
  <si>
    <t>Consolidated Information</t>
  </si>
  <si>
    <t>MTREF Range:</t>
  </si>
  <si>
    <t>MTREF Linked:</t>
  </si>
  <si>
    <t>MTREF:</t>
  </si>
  <si>
    <t>Fin Year:</t>
  </si>
  <si>
    <t>Type of report:</t>
  </si>
  <si>
    <t xml:space="preserve">Supporting Table SC13a </t>
  </si>
  <si>
    <t xml:space="preserve">Supporting Table SC13b </t>
  </si>
  <si>
    <t xml:space="preserve">Supporting Table SC13c </t>
  </si>
  <si>
    <t>S71Sa</t>
  </si>
  <si>
    <t>S71Sb</t>
  </si>
  <si>
    <t>S71Sc</t>
  </si>
  <si>
    <t>Municipal governance and administration</t>
  </si>
  <si>
    <t>Mayor and Council</t>
  </si>
  <si>
    <t>Human Resources</t>
  </si>
  <si>
    <t>Information Technology</t>
  </si>
  <si>
    <t>Property Services</t>
  </si>
  <si>
    <t>Libraries and Archives</t>
  </si>
  <si>
    <t>Aged Care</t>
  </si>
  <si>
    <t>Police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</si>
  <si>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</si>
  <si>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</si>
  <si>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</si>
  <si>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</si>
  <si>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</si>
  <si>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</si>
  <si>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</si>
  <si>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</si>
  <si>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</si>
  <si>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</si>
  <si>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</si>
  <si>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check oprev balance</t>
  </si>
  <si>
    <t>check opexp balance</t>
  </si>
  <si>
    <t>Parent Municipality</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</si>
  <si>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</si>
  <si>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</si>
  <si>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</si>
  <si>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</si>
  <si>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</si>
  <si>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</si>
  <si>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</si>
  <si>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</si>
  <si>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</si>
  <si>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</si>
  <si>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</si>
  <si>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</si>
  <si>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</si>
  <si>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</si>
  <si>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</si>
  <si>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</si>
  <si>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</si>
  <si>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</si>
  <si>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</si>
  <si>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</si>
  <si>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</si>
  <si>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</si>
  <si>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</si>
  <si>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</si>
  <si>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</si>
  <si>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</si>
  <si>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</si>
  <si>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</si>
  <si>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</si>
  <si>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</si>
  <si>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</si>
  <si>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</si>
  <si>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</si>
  <si>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</si>
  <si>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</si>
  <si>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</si>
  <si>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</si>
  <si>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</si>
  <si>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</si>
  <si>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</si>
  <si>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</si>
  <si>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</si>
  <si>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</si>
  <si>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</si>
  <si>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</si>
  <si>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</si>
  <si>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</si>
  <si>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</si>
  <si>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</si>
  <si>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</si>
  <si>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</si>
  <si>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</si>
  <si>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</si>
  <si>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</si>
  <si>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</si>
  <si>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</si>
  <si>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</si>
  <si>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</si>
  <si>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</si>
  <si>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</si>
  <si>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</si>
  <si>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</si>
  <si>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</si>
  <si>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</si>
  <si>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</si>
  <si>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</si>
  <si>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</si>
  <si>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</si>
  <si>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</si>
  <si>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</si>
  <si>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</si>
  <si>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</si>
  <si>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</si>
  <si>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</si>
  <si>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</si>
  <si>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</si>
  <si>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</si>
  <si>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</si>
  <si>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</si>
  <si>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</si>
  <si>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</si>
  <si>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</si>
  <si>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</si>
  <si>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</si>
  <si>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</si>
  <si>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</si>
  <si>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</si>
  <si>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</si>
  <si>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</si>
  <si>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</si>
  <si>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</si>
  <si>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</si>
  <si>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</si>
  <si>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</si>
  <si>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</si>
  <si>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</si>
  <si>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</si>
  <si>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Investments in Associate</t>
  </si>
  <si>
    <t>KZN245 Umvoti</t>
  </si>
  <si>
    <t>KZN252 Newcastle</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</si>
  <si>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</si>
  <si>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</si>
  <si>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</si>
  <si>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</si>
  <si>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</si>
  <si>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</si>
  <si>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</si>
  <si>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</si>
  <si>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</si>
  <si>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</si>
  <si>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</si>
  <si>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</si>
  <si>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</si>
  <si>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</si>
  <si>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</si>
  <si>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</si>
  <si>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</si>
  <si>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</si>
  <si>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</si>
  <si>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</si>
  <si>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</si>
  <si>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</si>
  <si>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</si>
  <si>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</si>
  <si>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</si>
  <si>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</si>
  <si>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</si>
  <si>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</si>
  <si>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</si>
  <si>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</si>
  <si>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</si>
  <si>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</si>
  <si>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</si>
  <si>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</si>
  <si>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</si>
  <si>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</si>
  <si>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</si>
  <si>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</si>
  <si>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</si>
  <si>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</si>
  <si>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</si>
  <si>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</si>
  <si>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</si>
  <si>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</si>
  <si>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</si>
  <si>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</si>
  <si>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</si>
  <si>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</si>
  <si>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</si>
  <si>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</si>
  <si>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</si>
  <si>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</si>
  <si>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</si>
  <si>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</si>
  <si>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</si>
  <si>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</si>
  <si>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</si>
  <si>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</si>
  <si>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</si>
  <si>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</si>
  <si>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</si>
  <si>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</si>
  <si>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</si>
  <si>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</si>
  <si>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</si>
  <si>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</si>
  <si>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</si>
  <si>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</si>
  <si>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</si>
  <si>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</si>
  <si>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</si>
  <si>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</si>
  <si>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</si>
  <si>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</si>
  <si>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</si>
  <si>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</si>
  <si>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</si>
  <si>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</si>
  <si>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</si>
  <si>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</si>
  <si>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</si>
  <si>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</si>
  <si>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</si>
  <si>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</si>
  <si>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</si>
  <si>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</si>
  <si>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</si>
  <si>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</si>
  <si>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</si>
  <si>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</si>
  <si>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</si>
  <si>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</si>
  <si>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</si>
  <si>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</si>
  <si>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</si>
  <si>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</si>
  <si>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</si>
  <si>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</si>
  <si>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</si>
  <si>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</si>
  <si>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</si>
  <si>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</si>
  <si>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</si>
  <si>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</si>
  <si>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</si>
  <si>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</si>
  <si>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</si>
  <si>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</si>
  <si>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</si>
  <si>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</si>
  <si>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</si>
  <si>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</si>
  <si>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</si>
  <si>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</si>
  <si>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</si>
  <si>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</si>
  <si>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</si>
  <si>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</si>
  <si>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</si>
  <si>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</si>
  <si>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</si>
  <si>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</si>
  <si>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</si>
  <si>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</si>
  <si>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</si>
  <si>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</si>
  <si>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</si>
  <si>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</si>
  <si>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</si>
  <si>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</si>
  <si>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</si>
  <si>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</si>
  <si>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</si>
  <si>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</si>
  <si>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</si>
  <si>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</si>
  <si>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</si>
  <si>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</si>
  <si>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</si>
  <si>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</si>
  <si>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</si>
  <si>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</si>
  <si>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</si>
  <si>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</si>
  <si>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</si>
  <si>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Councillors (Political Office Bearers plus Other)</t>
  </si>
  <si>
    <t>Medical Aid Contributions</t>
  </si>
  <si>
    <t>Sub Total - Councillors</t>
  </si>
  <si>
    <t>Performance Bonus</t>
  </si>
  <si>
    <t>Sub Total - Senior Managers of Municipality</t>
  </si>
  <si>
    <t>Other Municipal Staff</t>
  </si>
  <si>
    <t>Sub Total - Other Municipal Staff</t>
  </si>
  <si>
    <t>Schedule of funding diligence</t>
  </si>
  <si>
    <t>Other expenditure</t>
  </si>
  <si>
    <t>Present value</t>
  </si>
  <si>
    <t>Monetary Assets/Current Liabilities</t>
  </si>
  <si>
    <t>Revenue Management</t>
  </si>
  <si>
    <t>Variance</t>
  </si>
  <si>
    <t>6. For Sept, Dec, Mar and Jun statements explain any material variances in achievement of measurable performance objectives</t>
  </si>
  <si>
    <t>Abattoirs</t>
  </si>
  <si>
    <t>Markets</t>
  </si>
  <si>
    <t>Forecast 2019/20</t>
  </si>
  <si>
    <t>Forecast 2018/19</t>
  </si>
  <si>
    <t>National Government</t>
  </si>
  <si>
    <t>(Available cash + Investments)/monthly fixed operational expenditure</t>
  </si>
  <si>
    <t>Debt service payments</t>
  </si>
  <si>
    <t>Annual services revenue</t>
  </si>
  <si>
    <t>Cash + investments</t>
  </si>
  <si>
    <t>Including LT investments</t>
  </si>
  <si>
    <t>Total Parent Municipality</t>
  </si>
  <si>
    <t>Total Municipal Entities</t>
  </si>
  <si>
    <t>Finance charges</t>
  </si>
  <si>
    <t>Other revenue</t>
  </si>
  <si>
    <t>Non current assets</t>
  </si>
  <si>
    <t>LIABILITIES</t>
  </si>
  <si>
    <t>Total Creditors</t>
  </si>
  <si>
    <t>Non current liabilities</t>
  </si>
  <si>
    <t>Total non current liabilities</t>
  </si>
  <si>
    <t>Total current liabilities</t>
  </si>
  <si>
    <t>1. Include 'Loans and advances' where applicable if any reportable amounts until phased compliance with s164 of MFMA achieved</t>
  </si>
  <si>
    <t>3. s57 of the Systems Act</t>
  </si>
  <si>
    <t>4. B/A, C/A, D/A</t>
  </si>
  <si>
    <t>Nat. or Prov. Govt</t>
  </si>
  <si>
    <t>Multi-year capital</t>
  </si>
  <si>
    <t xml:space="preserve"> - Adjustments Budget - Month YYYY</t>
  </si>
  <si>
    <t>Taxation</t>
  </si>
  <si>
    <t>Surplus/(Deficit) after taxation</t>
  </si>
  <si>
    <t>Attributable to minorities</t>
  </si>
  <si>
    <t>Last 12 Mths Receipts/ Last 12 Mths Billing</t>
  </si>
  <si>
    <t>Outstanding Debtors to Revenue</t>
  </si>
  <si>
    <t>Funded by:</t>
  </si>
  <si>
    <t>Internally generated funds</t>
  </si>
  <si>
    <t>Monthly expenditure performance trend</t>
  </si>
  <si>
    <t>Single Year expenditure appropriation</t>
  </si>
  <si>
    <t>Employee costs</t>
  </si>
  <si>
    <t>C</t>
  </si>
  <si>
    <t>Remuneration of councillors</t>
  </si>
  <si>
    <t>Share of surplus/ (deficit) of associate</t>
  </si>
  <si>
    <t>Surplus/ (Deficit) for the yr/period</t>
  </si>
  <si>
    <t>Year11</t>
  </si>
  <si>
    <t>Year12</t>
  </si>
  <si>
    <t>Year13</t>
  </si>
  <si>
    <t>Year14</t>
  </si>
  <si>
    <t>Year15</t>
  </si>
  <si>
    <t>Service charges - refuse</t>
  </si>
  <si>
    <t>Revenue By Source</t>
  </si>
  <si>
    <t>Expenditure By Type</t>
  </si>
  <si>
    <t>Total Expenditure</t>
  </si>
  <si>
    <t>Surplus/(Deficit)</t>
  </si>
  <si>
    <t>Basic Salaries and Wages</t>
  </si>
  <si>
    <t>Total outstanding service debtors/annual revenue received for services</t>
  </si>
  <si>
    <t>Financial position</t>
  </si>
  <si>
    <t>Cash flows</t>
  </si>
  <si>
    <t>Other own revenue</t>
  </si>
  <si>
    <t>Materials and bulk purchases</t>
  </si>
  <si>
    <t>Investment revenue</t>
  </si>
  <si>
    <t>Reasons for material deviations</t>
  </si>
  <si>
    <t>Remedial or corrective steps/remarks</t>
  </si>
  <si>
    <t>Capital transfers recognised</t>
  </si>
  <si>
    <t>Annual Debtors Collection Rate 
(Payment Level %)</t>
  </si>
  <si>
    <t>Debtors &gt; 12 Mths Recovered/Total Debtors &gt; 
12 Months Old</t>
  </si>
  <si>
    <t>Water Distribution Losses</t>
  </si>
  <si>
    <t>Electricity Distribution Losses</t>
  </si>
  <si>
    <t>1. Consumer debtors &gt; 12 months old are excluded from current assets.</t>
  </si>
  <si>
    <t>Cash/cash equivalents at beginning:</t>
  </si>
  <si>
    <t xml:space="preserve">Total
</t>
  </si>
  <si>
    <t>Head40</t>
  </si>
  <si>
    <t>Head41</t>
  </si>
  <si>
    <t>Head42</t>
  </si>
  <si>
    <t>Sub Total - Other Staff of Entities</t>
  </si>
  <si>
    <t>Senior Managers of the Municipality</t>
  </si>
  <si>
    <t>Funding of Provisions</t>
  </si>
  <si>
    <t>Percentage Of Provisions Not Funded</t>
  </si>
  <si>
    <t>Unfunded Provisions/Total Provisions</t>
  </si>
  <si>
    <t>Other Indicators</t>
  </si>
  <si>
    <t>Borrowing Management</t>
  </si>
  <si>
    <t>Audited Outcome</t>
  </si>
  <si>
    <t>4. Housing subsidies for housing where ownership transferred</t>
  </si>
  <si>
    <t>District Municipality:</t>
  </si>
  <si>
    <t>Ambulance</t>
  </si>
  <si>
    <t>Quarter ended 30 June</t>
  </si>
  <si>
    <t>Head35</t>
  </si>
  <si>
    <t>Quarter ended 30 September</t>
  </si>
  <si>
    <t>4. Include expenditure on investment property, intangible and biological assets</t>
  </si>
  <si>
    <t>4,7</t>
  </si>
  <si>
    <t>Calculations</t>
  </si>
  <si>
    <t>Outstanding debtors (receivables)</t>
  </si>
  <si>
    <t>Total Assets</t>
  </si>
  <si>
    <t>Interest (finance charges)</t>
  </si>
  <si>
    <t>Depreciation</t>
  </si>
  <si>
    <t>Debt</t>
  </si>
  <si>
    <t>Equity</t>
  </si>
  <si>
    <t>Borrowed funding for capital</t>
  </si>
  <si>
    <t>Monetary assets</t>
  </si>
  <si>
    <t>Bad debts = amounts actually written off in the month</t>
  </si>
  <si>
    <t>EXPENDITURE</t>
  </si>
  <si>
    <t>B</t>
  </si>
  <si>
    <t>Current assets/current liabilities</t>
  </si>
  <si>
    <t>Overtime</t>
  </si>
  <si>
    <t>Total Operating Revenue</t>
  </si>
  <si>
    <t>September</t>
  </si>
  <si>
    <t>ASSETS</t>
  </si>
  <si>
    <t>Current assets</t>
  </si>
  <si>
    <t>Investments</t>
  </si>
  <si>
    <t>Current liabilities</t>
  </si>
  <si>
    <t>Provisions</t>
  </si>
  <si>
    <t>Head25</t>
  </si>
  <si>
    <t>fdil</t>
  </si>
  <si>
    <t>Head5A</t>
  </si>
  <si>
    <t>Outcome</t>
  </si>
  <si>
    <t>Expenditure By Municipal Entity</t>
  </si>
  <si>
    <t>Revenue By Municipal Entity</t>
  </si>
  <si>
    <t>Libraries</t>
  </si>
  <si>
    <t>Description of financial indicator</t>
  </si>
  <si>
    <t>2006/07</t>
  </si>
  <si>
    <t>Board Members of Entities</t>
  </si>
  <si>
    <t>Board Fees</t>
  </si>
  <si>
    <t>Forecast 2014/15</t>
  </si>
  <si>
    <t>Forecast 2015/16</t>
  </si>
  <si>
    <t>Forecast 2016/17</t>
  </si>
  <si>
    <t>Forecast 2017/18</t>
  </si>
  <si>
    <t>Forecast 2020/21</t>
  </si>
  <si>
    <t>Head28</t>
  </si>
  <si>
    <t>Result</t>
  </si>
  <si>
    <t>Total Capital expenditure</t>
  </si>
  <si>
    <t>Municipal Systems Improvement</t>
  </si>
  <si>
    <t>[insert description]</t>
  </si>
  <si>
    <t>Cash/cash equivalents at the month/year beginning:</t>
  </si>
  <si>
    <t>Accumulated Surplus/(Deficit)</t>
  </si>
  <si>
    <t>Yes</t>
  </si>
  <si>
    <t>Ref</t>
  </si>
  <si>
    <t>5. Insert additional 'Adjustment' Budget column for each Adjustment made by an entity</t>
  </si>
  <si>
    <t>Head48</t>
  </si>
  <si>
    <t>NET INCREASE/(DECREASE) IN CASH HELD</t>
  </si>
  <si>
    <t>%</t>
  </si>
  <si>
    <t>S71C</t>
  </si>
  <si>
    <t>S71D</t>
  </si>
  <si>
    <t>S71G</t>
  </si>
  <si>
    <t>A</t>
  </si>
  <si>
    <t>Agency services</t>
  </si>
  <si>
    <t>Capital expenditure</t>
  </si>
  <si>
    <t>Variance explanation</t>
  </si>
  <si>
    <t>Consumer deposits</t>
  </si>
  <si>
    <t>Property, plant and equipment</t>
  </si>
  <si>
    <t>Investment property</t>
  </si>
  <si>
    <t>Long-term receivables</t>
  </si>
  <si>
    <t>Inventory</t>
  </si>
  <si>
    <t>Consumer debtors</t>
  </si>
  <si>
    <t>Other debtors</t>
  </si>
  <si>
    <t>Call investment deposits</t>
  </si>
  <si>
    <t>VAT (output less input)</t>
  </si>
  <si>
    <t>0400</t>
  </si>
  <si>
    <t>Pensions / Retirement deductions</t>
  </si>
  <si>
    <t>0500</t>
  </si>
  <si>
    <t>Loan repayments</t>
  </si>
  <si>
    <t>0600</t>
  </si>
  <si>
    <t>Trade Creditors</t>
  </si>
  <si>
    <t>0700</t>
  </si>
  <si>
    <t>Auditor General</t>
  </si>
  <si>
    <t>0800</t>
  </si>
  <si>
    <t>0900</t>
  </si>
  <si>
    <t>5. Total recurrent/capital grants and subsidies must reconcile to the 'Financial Performance' Statement</t>
  </si>
  <si>
    <t>Provincial Government</t>
  </si>
  <si>
    <t>District Municipality</t>
  </si>
  <si>
    <t>Column Definitions:</t>
  </si>
  <si>
    <t>D</t>
  </si>
  <si>
    <t>Type of Investment</t>
  </si>
  <si>
    <t>Expiry date of investment</t>
  </si>
  <si>
    <t>Original Budget</t>
  </si>
  <si>
    <t>Health</t>
  </si>
  <si>
    <t>Debt impairment</t>
  </si>
  <si>
    <t>Quarter ended 31 December</t>
  </si>
  <si>
    <t>Quarter ended 31 March</t>
  </si>
  <si>
    <t>Head44</t>
  </si>
  <si>
    <t>Head45</t>
  </si>
  <si>
    <t>2001 Census</t>
  </si>
  <si>
    <t>1996 Census</t>
  </si>
  <si>
    <t>Year10</t>
  </si>
  <si>
    <t>3. YTD = Year to date; FAV - favourable variance or unfavourable variance</t>
  </si>
  <si>
    <t>Material increases in value of creditors' categories compared to previous month to be explained</t>
  </si>
  <si>
    <t>Material increases in value of debtors' categories compared to previous month to be explained</t>
  </si>
  <si>
    <t>National Government:</t>
  </si>
  <si>
    <t>Provincial Government:</t>
  </si>
  <si>
    <t>Does this municipality have entities (consolidated budget and entity budgets required)? YES/NO</t>
  </si>
  <si>
    <t>1. Votes (consolidated) are revenue sources and expenditure type</t>
  </si>
  <si>
    <t>TOTAL COMMUNITY WEALTH/EQUITY</t>
  </si>
  <si>
    <t>Head24</t>
  </si>
  <si>
    <t>Desc</t>
  </si>
  <si>
    <t>Downward adjusts</t>
  </si>
  <si>
    <t>Previous target year to complete</t>
  </si>
  <si>
    <t>Total non current assets</t>
  </si>
  <si>
    <t>Total current assets</t>
  </si>
  <si>
    <t>COMMUNITY WEALTH/EQUITY</t>
  </si>
  <si>
    <t>Total Expenditure by Vote</t>
  </si>
  <si>
    <t>Total Revenue by Vote</t>
  </si>
  <si>
    <t>S71sum</t>
  </si>
  <si>
    <t>Head49</t>
  </si>
  <si>
    <t>Head50</t>
  </si>
  <si>
    <t>Virement</t>
  </si>
  <si>
    <t>Total Outstanding Debtors to Annual Revenue</t>
  </si>
  <si>
    <t>4. Material variances to be explained</t>
  </si>
  <si>
    <t>Common sheet headings</t>
  </si>
  <si>
    <t>Infrastructure</t>
  </si>
  <si>
    <t>Head47</t>
  </si>
  <si>
    <t>Head27a</t>
  </si>
  <si>
    <t>References</t>
  </si>
  <si>
    <t>Net cash from (used) financing</t>
  </si>
  <si>
    <t>Net cash from (used) operating</t>
  </si>
  <si>
    <t>Net cash from (used) investing</t>
  </si>
  <si>
    <t>Summary of Employee and Councillor remuneration</t>
  </si>
  <si>
    <t>IDP regulation financial viability indicators</t>
  </si>
  <si>
    <t>i. Debt coverage</t>
  </si>
  <si>
    <t>iii. Cost coverage</t>
  </si>
  <si>
    <t>Forecast Financial Position</t>
  </si>
  <si>
    <t>Cash1</t>
  </si>
  <si>
    <t>Cash2</t>
  </si>
  <si>
    <t>Muni</t>
  </si>
  <si>
    <t>Head26</t>
  </si>
  <si>
    <t>Vote Description</t>
  </si>
  <si>
    <t>VDesc</t>
  </si>
  <si>
    <t>Head27</t>
  </si>
  <si>
    <t>Multi-Year expenditure appropriation</t>
  </si>
  <si>
    <t>Creditors Age Analysis By Customer Type</t>
  </si>
  <si>
    <t>Depreciation &amp; asset impairment</t>
  </si>
  <si>
    <t>Head55</t>
  </si>
  <si>
    <t>Dividends</t>
  </si>
  <si>
    <t>R thousands</t>
  </si>
  <si>
    <t>Other Cash Flows/Payments by Type</t>
  </si>
  <si>
    <t>Cash/cash equivalents at the month/year end:</t>
  </si>
  <si>
    <t>Heritage assets</t>
  </si>
  <si>
    <t>Investment properties</t>
  </si>
  <si>
    <t>Other assets</t>
  </si>
  <si>
    <t>Description</t>
  </si>
  <si>
    <t>YTD  Actual 31 Dec</t>
  </si>
  <si>
    <t>YTD  Budget 31 Dec</t>
  </si>
  <si>
    <t>S71A</t>
  </si>
  <si>
    <t>S71B</t>
  </si>
  <si>
    <t>S71E</t>
  </si>
  <si>
    <t>S71F</t>
  </si>
  <si>
    <t>S71H</t>
  </si>
  <si>
    <t>S71I</t>
  </si>
  <si>
    <t>S71J</t>
  </si>
  <si>
    <t>s71 charts listing</t>
  </si>
  <si>
    <t>Head2A</t>
  </si>
  <si>
    <t>Households</t>
  </si>
  <si>
    <t>Bulk Electricity</t>
  </si>
  <si>
    <t>0100</t>
  </si>
  <si>
    <t>Bulk Water</t>
  </si>
  <si>
    <t>0200</t>
  </si>
  <si>
    <t>PAYE deductions</t>
  </si>
  <si>
    <t>0300</t>
  </si>
  <si>
    <t>Budget Cash Flow</t>
  </si>
  <si>
    <t>Forecast Cash Flow</t>
  </si>
  <si>
    <t>Expenditure includes repairs &amp; maintenance of R'000</t>
  </si>
  <si>
    <t>RandM</t>
  </si>
  <si>
    <t>Suppliers and employees</t>
  </si>
  <si>
    <t>Capital assets</t>
  </si>
  <si>
    <t>Year1</t>
  </si>
  <si>
    <t>Year2</t>
  </si>
  <si>
    <t>Year3</t>
  </si>
  <si>
    <t>Year4</t>
  </si>
  <si>
    <t>Year5</t>
  </si>
  <si>
    <t>Year6</t>
  </si>
  <si>
    <t>Year7</t>
  </si>
  <si>
    <t>Year8</t>
  </si>
  <si>
    <t>Year9</t>
  </si>
  <si>
    <t>Forecast 2010/11</t>
  </si>
  <si>
    <t>Forecast 2011/12</t>
  </si>
  <si>
    <t>Forecast 2012/13</t>
  </si>
  <si>
    <t>Forecast 2013/14</t>
  </si>
  <si>
    <t>Housing</t>
  </si>
  <si>
    <t>Agricultural</t>
  </si>
  <si>
    <t>Head57</t>
  </si>
  <si>
    <t>1. Insert 'Vote'; e.g. Department, if different to standard classification structure</t>
  </si>
  <si>
    <t>YearTD actual</t>
  </si>
  <si>
    <t>YearTD budget</t>
  </si>
  <si>
    <t>Other Staff of Entities</t>
  </si>
  <si>
    <t>Other</t>
  </si>
  <si>
    <t>Long Term Borrowing/ Funds &amp; Reserves</t>
  </si>
  <si>
    <t>check balance</t>
  </si>
  <si>
    <t>CASH FLOWS FROM INVESTING ACTIVITIES</t>
  </si>
  <si>
    <t>% increase</t>
  </si>
  <si>
    <t>Other Cash Flows by Source</t>
  </si>
  <si>
    <t>Longstanding debtors recovered</t>
  </si>
  <si>
    <t>Fixed operational expend. (monthly)</t>
  </si>
  <si>
    <t>0 - 
30 Days</t>
  </si>
  <si>
    <t>31 - 
60 Days</t>
  </si>
  <si>
    <t>61 - 
90 Days</t>
  </si>
  <si>
    <t>91 - 
120 Days</t>
  </si>
  <si>
    <t>121 - 
150 Days</t>
  </si>
  <si>
    <t>151 - 
180 Days</t>
  </si>
  <si>
    <t>181 Days -
1 Year</t>
  </si>
  <si>
    <t>Over 1
Year</t>
  </si>
  <si>
    <t>NT Code</t>
  </si>
  <si>
    <t>Gearing</t>
  </si>
  <si>
    <t>Safety of Capital</t>
  </si>
  <si>
    <t>Liquidity</t>
  </si>
  <si>
    <t>Liquidity Ratio</t>
  </si>
  <si>
    <t>I&amp;D/Total Revenue - capital revenue</t>
  </si>
  <si>
    <t>Head36</t>
  </si>
  <si>
    <t>Head37</t>
  </si>
  <si>
    <t>Head38</t>
  </si>
  <si>
    <t>CASH FLOWS FROM FINANCING ACTIVITIES</t>
  </si>
  <si>
    <t>Bank overdraft</t>
  </si>
  <si>
    <t>S71L</t>
  </si>
  <si>
    <t>Head39</t>
  </si>
  <si>
    <t>Monthly actual</t>
  </si>
  <si>
    <t>Financial Performance</t>
  </si>
  <si>
    <t>Revenue by Vote</t>
  </si>
  <si>
    <t>Expenditure by Vote</t>
  </si>
  <si>
    <t>Standard nomenclature</t>
  </si>
  <si>
    <t>Surplus/(Deficit) after capital transfers &amp; contributions</t>
  </si>
  <si>
    <t>C. The budget for 2006/07 budget year as adjusted by council resolution in terms of section 28 of the MFMA.</t>
  </si>
  <si>
    <t>D. An estimate of final actual amounts (pre audit - 2006/07 budget year) at the time of preparing the budget for the 2007/08 budget year. This may differ from C.</t>
  </si>
  <si>
    <t>Repairs &amp; Maintenance</t>
  </si>
  <si>
    <t>Interest &amp; Depreciation</t>
  </si>
  <si>
    <t>Employee costs/Total Revenue - capital revenue</t>
  </si>
  <si>
    <t>R&amp;M/Total Revenue - capital revenue</t>
  </si>
  <si>
    <t>Total Capital Multi-year expenditure</t>
  </si>
  <si>
    <t>Total Capital single-year expenditure</t>
  </si>
  <si>
    <t>Total Capital Expenditure</t>
  </si>
  <si>
    <t>Head29</t>
  </si>
  <si>
    <t>Head30</t>
  </si>
  <si>
    <t>Head31</t>
  </si>
  <si>
    <t>Head32</t>
  </si>
  <si>
    <t>Head33</t>
  </si>
  <si>
    <t>Head34</t>
  </si>
  <si>
    <t>Annual target 2007/08</t>
  </si>
  <si>
    <t>Revised target 2007/08</t>
  </si>
  <si>
    <t>Sub Total - Board Members of Entities</t>
  </si>
  <si>
    <t>Sport and Recreation</t>
  </si>
  <si>
    <t>Basis of calculation</t>
  </si>
  <si>
    <t>S71O</t>
  </si>
  <si>
    <t>S71P</t>
  </si>
  <si>
    <t>S71Q</t>
  </si>
  <si>
    <t>2. If benefits in kind are provided (e.g. provision of living quarters) the full market value must be shown as the cost to the municipality</t>
  </si>
  <si>
    <t>NET ASSETS</t>
  </si>
  <si>
    <t>TOTAL ASSETS</t>
  </si>
  <si>
    <t>Borrowing</t>
  </si>
  <si>
    <t>Longstanding debtors outstanding</t>
  </si>
  <si>
    <t>Attorney collections</t>
  </si>
  <si>
    <t>July</t>
  </si>
  <si>
    <t>Head43</t>
  </si>
  <si>
    <t>YTD variance</t>
  </si>
  <si>
    <t>Cash</t>
  </si>
  <si>
    <t>Current portion of long-term receivables</t>
  </si>
  <si>
    <t>Trade and other payables</t>
  </si>
  <si>
    <t>(Total Operating Revenue - Operating Grants)/Debt service payments due within financial year)</t>
  </si>
  <si>
    <t>Notes</t>
  </si>
  <si>
    <t>Head56</t>
  </si>
  <si>
    <t>Total Adjusts.</t>
  </si>
  <si>
    <t>% of Creditors Paid Within Terms (within MFMA s 65(e))</t>
  </si>
  <si>
    <t>ii. O/S Service Debtors to Revenue</t>
  </si>
  <si>
    <t>s71 (Monthly Mayor report) schedules and charts</t>
  </si>
  <si>
    <t>Other non-current assets</t>
  </si>
  <si>
    <t>NOT REQUIRED - municipality does not have entities or this is the parent municipality's budget</t>
  </si>
  <si>
    <t>Capital expenditure - Municipal Vote</t>
  </si>
  <si>
    <t>Total multi-year capital expenditure</t>
  </si>
  <si>
    <t>Total single-year capital expenditure</t>
  </si>
  <si>
    <t>Expenditure of multi-year capital appropriation</t>
  </si>
  <si>
    <t>Expenditue of single-year capital appropriation</t>
  </si>
  <si>
    <t>Vote 15</t>
  </si>
  <si>
    <t>Vote 14</t>
  </si>
  <si>
    <t>Vote 13</t>
  </si>
  <si>
    <t>Vote 12</t>
  </si>
  <si>
    <t>Vote 11</t>
  </si>
  <si>
    <t>Vote 10</t>
  </si>
  <si>
    <t>Vote 9</t>
  </si>
  <si>
    <t>Vote 8</t>
  </si>
  <si>
    <t>Vote 7</t>
  </si>
  <si>
    <t>Vote 6</t>
  </si>
  <si>
    <t>Vote 5</t>
  </si>
  <si>
    <t>Vote 4</t>
  </si>
  <si>
    <t>Vote 3</t>
  </si>
  <si>
    <t>Vote 2</t>
  </si>
  <si>
    <t>Vote 1</t>
  </si>
  <si>
    <t>3. Replacement of RSC levies</t>
  </si>
  <si>
    <t>Other grant providers:</t>
  </si>
  <si>
    <t>Capital Expenditure By Municipal Entity</t>
  </si>
  <si>
    <t>Capital Charges to Operating Expenditure</t>
  </si>
  <si>
    <t>Head51</t>
  </si>
  <si>
    <t>Head52</t>
  </si>
  <si>
    <t>Head53</t>
  </si>
  <si>
    <t>Head54</t>
  </si>
  <si>
    <t>Accum. Funds</t>
  </si>
  <si>
    <t>Other Adjusts.</t>
  </si>
  <si>
    <t>Unfore. Unavoid.</t>
  </si>
  <si>
    <t>A. Audited actual 2005/06 (audited financial statements). If audited amounts unavailable, unaudited amounts must be provided with a note stating these are unaudited</t>
  </si>
  <si>
    <t>B. The original budget approved by council for the 2006/07 budget year.</t>
  </si>
  <si>
    <t>Senior Managers of Entities</t>
  </si>
  <si>
    <t>Sub Total - Senior Managers of Entities</t>
  </si>
  <si>
    <t>Adjusted Budget</t>
  </si>
  <si>
    <t>Full Year Forecast</t>
  </si>
  <si>
    <t>Service charges - electricity revenue</t>
  </si>
  <si>
    <t>Service charges - water revenue</t>
  </si>
  <si>
    <t>Service charges - sanitation revenue</t>
  </si>
  <si>
    <t>CASH FLOW FROM OPERATING ACTIVITIES</t>
  </si>
  <si>
    <t>Interest earned - external investments</t>
  </si>
  <si>
    <t>Interest earned - outstanding debtors</t>
  </si>
  <si>
    <t>Licences and permits</t>
  </si>
  <si>
    <t>Employee related costs</t>
  </si>
  <si>
    <t>Remuneration of Councillors</t>
  </si>
  <si>
    <t>Interest paid</t>
  </si>
  <si>
    <t>Bulk purchases</t>
  </si>
  <si>
    <t>Contracted services</t>
  </si>
  <si>
    <t>General expenses</t>
  </si>
  <si>
    <t>Budgeted Financial Performance</t>
  </si>
  <si>
    <t>Forecast Financial Performance</t>
  </si>
  <si>
    <t>SFPerf1</t>
  </si>
  <si>
    <t>SFPerf2</t>
  </si>
  <si>
    <t>SFPos1</t>
  </si>
  <si>
    <t>SFPos2</t>
  </si>
  <si>
    <t>Budgeted Financial Position</t>
  </si>
  <si>
    <t>1. Revenue for each source, vote and standard classification</t>
  </si>
  <si>
    <t>2. Expenditure for each type, vote and standard classification</t>
  </si>
  <si>
    <t>3. Capital expenditure for each vote and standard classification</t>
  </si>
  <si>
    <t>4. Explain any material variances between the annual budget and the expected financial position based on current trends</t>
  </si>
  <si>
    <t>5. Cash receipts by source and cash payments by type where not explained under revenue and expenditure</t>
  </si>
  <si>
    <t>Date/type of report</t>
  </si>
  <si>
    <t>Mid-Year Assessment</t>
  </si>
  <si>
    <t>M01 July</t>
  </si>
  <si>
    <t>M02 August</t>
  </si>
  <si>
    <t>Q1 First Quarter</t>
  </si>
  <si>
    <t>Q2 Second Quarter</t>
  </si>
  <si>
    <t>Date linked</t>
  </si>
  <si>
    <t>Date</t>
  </si>
  <si>
    <t>M03 September</t>
  </si>
  <si>
    <t>M04 October</t>
  </si>
  <si>
    <t>M05 November</t>
  </si>
  <si>
    <t>M06 December</t>
  </si>
  <si>
    <t>M07 January</t>
  </si>
  <si>
    <t>M08 February</t>
  </si>
  <si>
    <t>M09 March</t>
  </si>
  <si>
    <t>M10 April</t>
  </si>
  <si>
    <t>M11 May</t>
  </si>
  <si>
    <t>M12 June</t>
  </si>
  <si>
    <t>Q3 Third Quarter</t>
  </si>
  <si>
    <t>Q4 Fourth Quarter</t>
  </si>
  <si>
    <t>Capital expenditure on new assets by Asset Class/Sub-class</t>
  </si>
  <si>
    <t>Total Capital Expenditure on new assets</t>
  </si>
  <si>
    <t xml:space="preserve">Total Capital Expenditure on renewal of existing assets </t>
  </si>
  <si>
    <t>Capital expenditure on renewal of existing assets by Asset Class/Sub-class</t>
  </si>
  <si>
    <t>Repairs and maintenance expenditure by Asset Class/Sub-class</t>
  </si>
  <si>
    <t>Total Repairs and Maintenance Expenditure</t>
  </si>
  <si>
    <t>Unpaid salary, allowances &amp; benefits in arrears:</t>
  </si>
  <si>
    <t>Interest</t>
  </si>
  <si>
    <t>Month</t>
  </si>
  <si>
    <t>Decrease (increase) in non-current investments</t>
  </si>
  <si>
    <t>NET CASH FROM/(USED) OPERATING ACTIVITIES</t>
  </si>
  <si>
    <t>NET CASH FROM/(USED) INVESTING ACTIVITIES</t>
  </si>
  <si>
    <t>NET CASH FROM/(USED) FINANCING ACTIVITIES</t>
  </si>
  <si>
    <t>Total Capital Funding</t>
  </si>
  <si>
    <t>Surplus/ (Deficit) for the year</t>
  </si>
  <si>
    <t>Investments by maturity
Name of institution &amp; investment ID</t>
  </si>
  <si>
    <t>2. Material variances to be explained.</t>
  </si>
  <si>
    <t>Receipts</t>
  </si>
  <si>
    <t>Payments</t>
  </si>
  <si>
    <t>2. Net assets must balance with Total Community Wealth/Equity</t>
  </si>
  <si>
    <t>Repayment of borrowing</t>
  </si>
  <si>
    <t>Short term loans</t>
  </si>
  <si>
    <t>NET INCREASE/ (DECREASE) IN CASH HELD</t>
  </si>
  <si>
    <t>Reserves</t>
  </si>
  <si>
    <t>Head1</t>
  </si>
  <si>
    <t>Total Operating Expenditure</t>
  </si>
  <si>
    <t>August</t>
  </si>
  <si>
    <t>October</t>
  </si>
  <si>
    <t>November</t>
  </si>
  <si>
    <t>December</t>
  </si>
  <si>
    <t>January</t>
  </si>
  <si>
    <t>February</t>
  </si>
  <si>
    <t>March</t>
  </si>
  <si>
    <t>April</t>
  </si>
  <si>
    <t>May</t>
  </si>
  <si>
    <t>June</t>
  </si>
  <si>
    <t>Bulk purchases - Electricity</t>
  </si>
  <si>
    <t>Total Cash Receipts by Source</t>
  </si>
  <si>
    <t>Total Cash Payments by Type</t>
  </si>
  <si>
    <t>Bulk purchases - Water &amp; Sewer</t>
  </si>
  <si>
    <t>Total By Customer Type</t>
  </si>
  <si>
    <t>Other materials</t>
  </si>
  <si>
    <t>Dividends received</t>
  </si>
  <si>
    <t>Proceeds on disposal of PPE</t>
  </si>
  <si>
    <t>2. Grant expenditure must be separately listed for each grant received</t>
  </si>
  <si>
    <t>Grants and subsidies paid - other municipalities</t>
  </si>
  <si>
    <t>Grants and subsidies paid - other</t>
  </si>
  <si>
    <t>Head46</t>
  </si>
  <si>
    <t>Capital expenditure &amp; funds sources</t>
  </si>
  <si>
    <t>Debtors &amp; creditors analysis</t>
  </si>
  <si>
    <t>S71M</t>
  </si>
  <si>
    <t>S71N</t>
  </si>
  <si>
    <t>Property rates</t>
  </si>
  <si>
    <t>Cash Receipts By Source</t>
  </si>
  <si>
    <t>Cash Receipts by Source</t>
  </si>
  <si>
    <t>Cash Payments by Type</t>
  </si>
  <si>
    <t>Head2</t>
  </si>
  <si>
    <t>Head3</t>
  </si>
  <si>
    <t>Head5</t>
  </si>
  <si>
    <t>Head6</t>
  </si>
  <si>
    <t>Head7</t>
  </si>
  <si>
    <t>Head8</t>
  </si>
  <si>
    <t>Head9</t>
  </si>
  <si>
    <t>Head10</t>
  </si>
  <si>
    <t>Forecast 2021/22</t>
  </si>
  <si>
    <t>Head11</t>
  </si>
  <si>
    <t>Head12</t>
  </si>
  <si>
    <t>Head13</t>
  </si>
  <si>
    <t>Head14</t>
  </si>
  <si>
    <t>Head15</t>
  </si>
  <si>
    <t>Head16</t>
  </si>
  <si>
    <t>Head17</t>
  </si>
  <si>
    <t>Head18</t>
  </si>
  <si>
    <t>Head19</t>
  </si>
  <si>
    <t>Head20</t>
  </si>
  <si>
    <t>Head21</t>
  </si>
  <si>
    <t>Head22</t>
  </si>
  <si>
    <t>Head23</t>
  </si>
  <si>
    <t>1,2</t>
  </si>
  <si>
    <t>Borrowing long term/refinancing</t>
  </si>
  <si>
    <t>Transfers recognised - capital</t>
  </si>
  <si>
    <t>Loans, Accounts Payable, Overdraft &amp; Tax Provision/ Funds &amp; Reserves</t>
  </si>
  <si>
    <t>Prior Adjusted</t>
  </si>
  <si>
    <t>Service charges</t>
  </si>
  <si>
    <t>Rental of facilities and equipment</t>
  </si>
  <si>
    <t>Head5B</t>
  </si>
  <si>
    <t>Pre-audit outcome</t>
  </si>
  <si>
    <t>Head58</t>
  </si>
  <si>
    <t>Parent muni.</t>
  </si>
  <si>
    <t>Head59</t>
  </si>
  <si>
    <t>1. Must reconcile to the sum of all municipal entity monthly revenue reports</t>
  </si>
  <si>
    <t>2. Must reconcile to the sum of all municipal entity monthly expenditure reports</t>
  </si>
  <si>
    <t>1. Each grant is listed by name as gazetted together with the name of the transferring department or municipality, donor or other organisation</t>
  </si>
  <si>
    <t>TOTAL SALARY, ALLOWANCES &amp; BENEFITS</t>
  </si>
  <si>
    <t>RECEIPTS:</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</si>
  <si>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</si>
  <si>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</si>
  <si>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</si>
  <si>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</si>
  <si>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</si>
  <si>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</si>
  <si>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</si>
  <si>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</si>
  <si>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</si>
  <si>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</si>
  <si>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</si>
  <si>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</si>
  <si>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</si>
  <si>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</si>
  <si>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</si>
  <si>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</si>
  <si>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</si>
  <si>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</si>
  <si>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</si>
  <si>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</si>
  <si>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</si>
  <si>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</si>
  <si>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</si>
  <si>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</si>
  <si>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</si>
  <si>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</si>
  <si>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</si>
  <si>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</si>
  <si>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</si>
  <si>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</si>
  <si>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</si>
  <si>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</si>
  <si>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</si>
  <si>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</si>
  <si>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Public Transport and Systems</t>
  </si>
  <si>
    <t>[Name of sub-vote]</t>
  </si>
  <si>
    <t>15.10</t>
  </si>
  <si>
    <t>15.1 - [Name of sub-vote]</t>
  </si>
  <si>
    <t>[NAME OF VOTE 15]</t>
  </si>
  <si>
    <t>14.10</t>
  </si>
  <si>
    <t>14.1 - [Name of sub-vote]</t>
  </si>
  <si>
    <t>[NAME OF VOTE 14]</t>
  </si>
  <si>
    <t>13.10</t>
  </si>
  <si>
    <t>13.1 - [Name of sub-vote]</t>
  </si>
  <si>
    <t>[NAME OF VOTE 13]</t>
  </si>
  <si>
    <t>12.10</t>
  </si>
  <si>
    <t>12.1 - [Name of sub-vote]</t>
  </si>
  <si>
    <t>[NAME OF VOTE 12]</t>
  </si>
  <si>
    <t>11.10</t>
  </si>
  <si>
    <t>11.1 - [Name of sub-vote]</t>
  </si>
  <si>
    <t>[NAME OF VOTE 11]</t>
  </si>
  <si>
    <t>10.10</t>
  </si>
  <si>
    <t>10.1 - [Name of sub-vote]</t>
  </si>
  <si>
    <t>[NAME OF VOTE 10]</t>
  </si>
  <si>
    <t>9.10</t>
  </si>
  <si>
    <t>9.1 - [Name of sub-vote]</t>
  </si>
  <si>
    <t>[NAME OF VOTE 9]</t>
  </si>
  <si>
    <t>8.10</t>
  </si>
  <si>
    <t>8.1 - [Name of sub-vote]</t>
  </si>
  <si>
    <t>[NAME OF VOTE 8]</t>
  </si>
  <si>
    <t>7.10</t>
  </si>
  <si>
    <t>7.1 - [Name of sub-vote]</t>
  </si>
  <si>
    <t>[NAME OF VOTE 7]</t>
  </si>
  <si>
    <t>6.10</t>
  </si>
  <si>
    <t>5.10</t>
  </si>
  <si>
    <t>4.10</t>
  </si>
  <si>
    <t>3.10</t>
  </si>
  <si>
    <t>2.10</t>
  </si>
  <si>
    <t>1.10</t>
  </si>
  <si>
    <t>Display Sub-Votes</t>
  </si>
  <si>
    <t>Organisational Structure Sub-Votes</t>
  </si>
  <si>
    <t>Organisational Structure Votes</t>
  </si>
  <si>
    <t>S71Sd</t>
  </si>
  <si>
    <t xml:space="preserve">Supporting Table SC13d </t>
  </si>
  <si>
    <t>Pension and UIF Contributions</t>
  </si>
  <si>
    <t>Motor Vehicle Allowance</t>
  </si>
  <si>
    <t>Cellphone Allowance</t>
  </si>
  <si>
    <t>Housing Allowances</t>
  </si>
  <si>
    <t>Other benefits and allowances</t>
  </si>
  <si>
    <t>Payments in lieu of leave</t>
  </si>
  <si>
    <t>Long service awards</t>
  </si>
  <si>
    <t>Post-retirement benefit obligations</t>
  </si>
  <si>
    <t>Borrowed funding of 'own' capital expenditure</t>
  </si>
  <si>
    <t>Current Ratio</t>
  </si>
  <si>
    <t>Longstanding Debtors Recovered</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</si>
  <si>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</si>
  <si>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</si>
  <si>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</si>
  <si>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</si>
  <si>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</si>
  <si>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</si>
  <si>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</si>
  <si>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</si>
  <si>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</si>
  <si>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</si>
  <si>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</si>
  <si>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JHB City Of Johannesburg</t>
  </si>
  <si>
    <t>TSH City Of Tshwane</t>
  </si>
  <si>
    <t>ETH eThekwini</t>
  </si>
  <si>
    <t>CPT Cape Town</t>
  </si>
  <si>
    <t>Depreciation by Asset Class/Sub-class</t>
  </si>
  <si>
    <t>Total Depreciation</t>
  </si>
  <si>
    <t>Debtors Age Analysis By Income Source</t>
  </si>
  <si>
    <t>Trade and Other Receivables from Exchange Transactions - Water</t>
  </si>
  <si>
    <t>Receivables from Non-exchange Transactions - Property Rates</t>
  </si>
  <si>
    <t>Trade and Other Receivables from Exchange Transactions - Electricity</t>
  </si>
  <si>
    <t>Receivables from Exchange Transactions - Waste Water Management</t>
  </si>
  <si>
    <t>Receivables from Exchange Transactions - Waste Management</t>
  </si>
  <si>
    <t>Receivables from Exchange Transactions - Property Rental Debtors</t>
  </si>
  <si>
    <t>Interest on Arrear Debtor Accounts</t>
  </si>
  <si>
    <t>Recoverable unauthorised, irregular, fruitless and wasteful expenditure</t>
  </si>
  <si>
    <t>Total By Income Source</t>
  </si>
  <si>
    <t>Organs of State</t>
  </si>
  <si>
    <t>Commercial</t>
  </si>
  <si>
    <t>Impairment - Bad Debts i.t.o Council Policy</t>
  </si>
  <si>
    <t>Debtors Age Analysis By Customer Group</t>
  </si>
  <si>
    <t>Total By Customer Group</t>
  </si>
  <si>
    <t>Total by Income Source must reconcile with Total by Customer Group</t>
  </si>
  <si>
    <t>S71T</t>
  </si>
  <si>
    <t>Supporting Table SC7(1)</t>
  </si>
  <si>
    <t>Supporting Table SC7(2)</t>
  </si>
  <si>
    <t>Operating expenditure of Approved Roll-overs</t>
  </si>
  <si>
    <t>Total operating expenditure of Approved Roll-overs</t>
  </si>
  <si>
    <t>Capital expenditure of Approved Roll-overs</t>
  </si>
  <si>
    <t>Total capital expenditure of Approved Roll-overs</t>
  </si>
  <si>
    <t>TOTAL EXPENDITURE OF APPROVED ROLL-OVERS</t>
  </si>
  <si>
    <t>Total 
over 90 days</t>
  </si>
  <si>
    <t>Actual Bad Debts Written Off against Debtors</t>
  </si>
  <si>
    <t>DC10 Sarah Baartman</t>
  </si>
  <si>
    <t>DC43 Harry Gwala</t>
  </si>
  <si>
    <t>DC8 Z F Mgcawu</t>
  </si>
  <si>
    <t>NW397 Kagisano-Molopo</t>
  </si>
  <si>
    <t>EC129 Raymond Mhlaba</t>
  </si>
  <si>
    <t>EC139 Enoch Mgijima</t>
  </si>
  <si>
    <t>EC145 Walter Sisulu</t>
  </si>
  <si>
    <t>KZN237 Inkosi Langalibalele</t>
  </si>
  <si>
    <t>KZN238 Alfred Duma</t>
  </si>
  <si>
    <t>DC28 King Cetshwayo</t>
  </si>
  <si>
    <t>KZN436 Dr Nkosazana Dlamini Zuma</t>
  </si>
  <si>
    <t>MP326 City of Mbombela</t>
  </si>
  <si>
    <t>KZN216 Ray Nkonyeni</t>
  </si>
  <si>
    <t>ID Number</t>
  </si>
  <si>
    <t>Title</t>
  </si>
  <si>
    <t>Fines, penalties and forfeits</t>
  </si>
  <si>
    <t>Transfers and subsidies</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</si>
  <si>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</si>
  <si>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</si>
  <si>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</si>
  <si>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Municipal Manager, Town Secretary and Chief Executive</t>
  </si>
  <si>
    <t>Finance and administration</t>
  </si>
  <si>
    <t>Administrative and Corporate Support</t>
  </si>
  <si>
    <t>Asset Management</t>
  </si>
  <si>
    <t>Finance</t>
  </si>
  <si>
    <t>Fleet Management</t>
  </si>
  <si>
    <t>Legal Services</t>
  </si>
  <si>
    <t>Marketing, Customer Relations, Publicity and Media Co-ordination</t>
  </si>
  <si>
    <t>Risk Management</t>
  </si>
  <si>
    <t>Security Services</t>
  </si>
  <si>
    <t xml:space="preserve">Supply Chain Management </t>
  </si>
  <si>
    <t>Valuation Service</t>
  </si>
  <si>
    <t>Internal audit</t>
  </si>
  <si>
    <t>Governance Function</t>
  </si>
  <si>
    <t>Revenue - Functional</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</si>
  <si>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</si>
  <si>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</si>
  <si>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</si>
  <si>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</si>
  <si>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</si>
  <si>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</si>
  <si>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</si>
  <si>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</si>
  <si>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</si>
  <si>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</si>
  <si>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</si>
  <si>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</si>
  <si>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</si>
  <si>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</si>
  <si>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</si>
  <si>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</si>
  <si>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</si>
  <si>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</si>
  <si>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</si>
  <si>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</si>
  <si>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</si>
  <si>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</si>
  <si>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</si>
  <si>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</si>
  <si>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</si>
  <si>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</si>
  <si>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</si>
  <si>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</si>
  <si>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</si>
  <si>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</si>
  <si>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</si>
  <si>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</si>
  <si>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</si>
  <si>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</si>
  <si>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</si>
  <si>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</si>
  <si>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</si>
  <si>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</si>
  <si>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</si>
  <si>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</si>
  <si>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</si>
  <si>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</si>
  <si>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</si>
  <si>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</si>
  <si>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</si>
  <si>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</si>
  <si>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</si>
  <si>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</si>
  <si>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</si>
  <si>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</si>
  <si>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</si>
  <si>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</si>
  <si>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</si>
  <si>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</si>
  <si>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Energy sources</t>
  </si>
  <si>
    <t xml:space="preserve">Electricity </t>
  </si>
  <si>
    <t>Street Lighting and Signal Systems</t>
  </si>
  <si>
    <t>Nonelectric Energy</t>
  </si>
  <si>
    <t>Water management</t>
  </si>
  <si>
    <t>Water Treatment</t>
  </si>
  <si>
    <t>Waste Water Treatment</t>
  </si>
  <si>
    <t>Recycling</t>
  </si>
  <si>
    <t>Solid Waste Disposal (Landfill Sites)</t>
  </si>
  <si>
    <t>Solid Waste Removal</t>
  </si>
  <si>
    <t>Street Cleaning</t>
  </si>
  <si>
    <t xml:space="preserve">Forestry </t>
  </si>
  <si>
    <t>Licensing and Regulation</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</si>
  <si>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</si>
  <si>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</si>
  <si>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</si>
  <si>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function 'Other' is only for Abbatoirs, Air Transport, Licensing and Regulation, Markets and Tourism - and if used must be supported by footnotes. Nothing else may be placed under 'Other'. Assign associate share to relevant classification</t>
  </si>
  <si>
    <t>Total Revenue - Functional</t>
  </si>
  <si>
    <t>Total Expenditure - Functional</t>
  </si>
  <si>
    <t>2. Total Revenue by functional classification must reconcile to Total Operating Revenue shown in the Financial Performance Statement</t>
  </si>
  <si>
    <t>3. Total Expenditure by functional classification must reconcile to total operating expenditure shown in 'Financial Performance Statement'</t>
  </si>
  <si>
    <t>4. All amounts must be classified under a functional classification (modified GFS). The GFS function 'Other' is only for Abbatoirs, Air Transport, Licensing and Regulation, Markets and Tourism - and if used must be supported by footnotes. Nothing else may be placed under 'Other'. Assign associate share to relevant classification</t>
  </si>
  <si>
    <t>Total Capital Expenditure - Functional Classification</t>
  </si>
  <si>
    <t>Capital Expenditure - Functional Classification</t>
  </si>
  <si>
    <t>3. Capital expenditure by functional classification must reconcile to the total of multi-year and single year appropriations</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</si>
  <si>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</si>
  <si>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</si>
  <si>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</si>
  <si>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</si>
  <si>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</si>
  <si>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</si>
  <si>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</si>
  <si>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</si>
  <si>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</si>
  <si>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</si>
  <si>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</si>
  <si>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</si>
  <si>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</si>
  <si>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</si>
  <si>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</si>
  <si>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</si>
  <si>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</si>
  <si>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</si>
  <si>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</si>
  <si>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</si>
  <si>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</si>
  <si>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</si>
  <si>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</si>
  <si>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</si>
  <si>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</si>
  <si>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</si>
  <si>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</si>
  <si>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</si>
  <si>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</si>
  <si>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</si>
  <si>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</si>
  <si>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</si>
  <si>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</si>
  <si>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</si>
  <si>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</si>
  <si>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</si>
  <si>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</si>
  <si>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</si>
  <si>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</si>
  <si>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</si>
  <si>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</si>
  <si>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</si>
  <si>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</si>
  <si>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</si>
  <si>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</si>
  <si>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</si>
  <si>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</si>
  <si>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</si>
  <si>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</si>
  <si>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</si>
  <si>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</si>
  <si>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</si>
  <si>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Facilities</t>
  </si>
  <si>
    <t>Halls</t>
  </si>
  <si>
    <t>Centres</t>
  </si>
  <si>
    <t>Crèches</t>
  </si>
  <si>
    <t>Clinics/Care Centres</t>
  </si>
  <si>
    <t>Fire/Ambulance Stations</t>
  </si>
  <si>
    <t>Testing Stations</t>
  </si>
  <si>
    <t>Museums</t>
  </si>
  <si>
    <t>Galleries</t>
  </si>
  <si>
    <t>Cemeteries/Crematoria</t>
  </si>
  <si>
    <t>Purls</t>
  </si>
  <si>
    <t>Public Open Space</t>
  </si>
  <si>
    <t>Nature Reserves</t>
  </si>
  <si>
    <t>Public Ablution Facilities</t>
  </si>
  <si>
    <t>Stalls</t>
  </si>
  <si>
    <t>Airports</t>
  </si>
  <si>
    <t>Taxi Ranks/Bus Terminals</t>
  </si>
  <si>
    <t>Sport and Recreation Facilities</t>
  </si>
  <si>
    <t>Indoor Facilities</t>
  </si>
  <si>
    <t>Outdoor Facilities</t>
  </si>
  <si>
    <t>Community Assets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</si>
  <si>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</si>
  <si>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</si>
  <si>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</si>
  <si>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</si>
  <si>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</si>
  <si>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</si>
  <si>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</si>
  <si>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</si>
  <si>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</si>
  <si>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</si>
  <si>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</si>
  <si>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</si>
  <si>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</si>
  <si>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</si>
  <si>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</si>
  <si>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</si>
  <si>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</si>
  <si>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</si>
  <si>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</si>
  <si>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</si>
  <si>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</si>
  <si>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</si>
  <si>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</si>
  <si>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</si>
  <si>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</si>
  <si>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</si>
  <si>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</si>
  <si>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</si>
  <si>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</si>
  <si>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</si>
  <si>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</si>
  <si>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</si>
  <si>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</si>
  <si>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</si>
  <si>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</si>
  <si>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</si>
  <si>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</si>
  <si>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t>
  </si>
  <si>
    <t>Capital expenditure on upgrading of existing assets by Asset Class/Sub-class</t>
  </si>
  <si>
    <t xml:space="preserve">Total Capital Expenditure on upgrading of existing assets </t>
  </si>
  <si>
    <t>1. Total Capital Expenditure on new assets (SC13a) plus Total Capital Expenditure on renewal of existing assets (SC13b) plus Total Capital Expenditure on upgrading of existing assets (SC13e)  must reconcile to total capital expenditure in Table C5</t>
  </si>
  <si>
    <t>1. Total Capital Expenditure on new assets (SC13a) plus Total Capital Expenditure on renewal of existing assets (SC13b) plus Total Capital Expenditure on upgrading of existing assets (SC13e) must reconcile to total capital expenditure in Table C5</t>
  </si>
  <si>
    <t>S71Se</t>
  </si>
  <si>
    <t xml:space="preserve">Supporting Table SC13e </t>
  </si>
  <si>
    <t>Biological</t>
  </si>
  <si>
    <t>Intangible</t>
  </si>
  <si>
    <t>Land</t>
  </si>
  <si>
    <t>EC EASTERN CAPE</t>
  </si>
  <si>
    <t>EC101 Dr Beyers Naude</t>
  </si>
  <si>
    <t>FS FREE STATE</t>
  </si>
  <si>
    <t>EKU City of Ekurhuleni</t>
  </si>
  <si>
    <t>GT GAUTENG</t>
  </si>
  <si>
    <t>GT485 Rand West City</t>
  </si>
  <si>
    <t>KZN KWAZULU-NATAL</t>
  </si>
  <si>
    <t>KZN253 Emadlangeni</t>
  </si>
  <si>
    <t>KZN276 Hlabisa Big Five</t>
  </si>
  <si>
    <t>LIM LIMPOPO</t>
  </si>
  <si>
    <t>LIM345 Collins Chabane</t>
  </si>
  <si>
    <t>LIM368 Modimolle-Mookgopong</t>
  </si>
  <si>
    <t>LIM476 Tubatse Fetakgomo</t>
  </si>
  <si>
    <t>MP MPUMALANGA</t>
  </si>
  <si>
    <t>NC NORTHERN CAPE</t>
  </si>
  <si>
    <t>NC087 Dawid Kruiper</t>
  </si>
  <si>
    <t>NW NORTH WEST</t>
  </si>
  <si>
    <t>NW405 J B Marks</t>
  </si>
  <si>
    <t>WC WESTERN CAPE</t>
  </si>
  <si>
    <t>DC4 Garden Route</t>
  </si>
  <si>
    <t>Capital Guarantee
(Yes/ No)</t>
  </si>
  <si>
    <t>Variable or Fixed interest rate</t>
  </si>
  <si>
    <r>
      <t xml:space="preserve">Interest Rate </t>
    </r>
    <r>
      <rPr>
        <b/>
        <sz val="8"/>
        <rFont val="Calibri"/>
        <family val="2"/>
      </rPr>
      <t>ᶟ</t>
    </r>
  </si>
  <si>
    <t>Commission Paid (Rands)</t>
  </si>
  <si>
    <t>Commission Recipient</t>
  </si>
  <si>
    <t>Opening balance</t>
  </si>
  <si>
    <t>Interest to be realised</t>
  </si>
  <si>
    <t>Partial / Premature Withdrawal (4)</t>
  </si>
  <si>
    <t>Investment Top Up</t>
  </si>
  <si>
    <t>Closing Balance</t>
  </si>
  <si>
    <t>2. List investments in expiry date order</t>
  </si>
  <si>
    <t>3. If 'variable' is selected in column F, input interest rate range</t>
  </si>
  <si>
    <t>4. Withdrawals to be entered as negative</t>
  </si>
  <si>
    <t>Gains</t>
  </si>
  <si>
    <t>Losses</t>
  </si>
  <si>
    <t>Decrease (increase) in non-current receivables</t>
  </si>
  <si>
    <t>Transfers and Subsidies - Operational</t>
  </si>
  <si>
    <t>Transfers and Subsidies - Capital</t>
  </si>
  <si>
    <t>Proceeds on Disposal of Fixed and Intangible Assets</t>
  </si>
  <si>
    <t>1.1 - Internal Audit and Compliance</t>
  </si>
  <si>
    <t>1.2 - Office of the City Manager</t>
  </si>
  <si>
    <t>1.3 - Political Support</t>
  </si>
  <si>
    <t>1.4 - Strategic Planning</t>
  </si>
  <si>
    <t>2.1 - Asset Management</t>
  </si>
  <si>
    <t>2.2 - Budget and Treasury Management</t>
  </si>
  <si>
    <t>2.3 - Expenditure Management</t>
  </si>
  <si>
    <t>2.4 - Revenue Management</t>
  </si>
  <si>
    <t>2.5 - Supply Chain Management</t>
  </si>
  <si>
    <t xml:space="preserve">3.1 - Area Based Management </t>
  </si>
  <si>
    <t>3.2 - Public Safety, Emergency Services and Enforcement</t>
  </si>
  <si>
    <t>3.3 - Recreation and Facilities</t>
  </si>
  <si>
    <t>3.4 - Waste Management</t>
  </si>
  <si>
    <t xml:space="preserve">Area Based Management </t>
  </si>
  <si>
    <t>Public Safety, Emergency Services and Enforcement</t>
  </si>
  <si>
    <t>Recreation and Facilities</t>
  </si>
  <si>
    <t>Waste Management</t>
  </si>
  <si>
    <t>Budget and Treasury Management</t>
  </si>
  <si>
    <t>Expenditure Management</t>
  </si>
  <si>
    <t>Supply Chain Management</t>
  </si>
  <si>
    <t>Internal Audit and Compliance</t>
  </si>
  <si>
    <t>Office of the City Manager</t>
  </si>
  <si>
    <t>Political Support</t>
  </si>
  <si>
    <t>Strategic Planning</t>
  </si>
  <si>
    <t>City Manager</t>
  </si>
  <si>
    <t>City Finance</t>
  </si>
  <si>
    <t>Community Services and Social Equity</t>
  </si>
  <si>
    <t>Corporate Services</t>
  </si>
  <si>
    <t>Human Resources Management</t>
  </si>
  <si>
    <t>Secretariat and Auxiliary Services</t>
  </si>
  <si>
    <t>General Manager: Corporate Service</t>
  </si>
  <si>
    <t>4.1 - Human Resources Management</t>
  </si>
  <si>
    <t>4.2 - Information Technology</t>
  </si>
  <si>
    <t>4.3 - Legal Services</t>
  </si>
  <si>
    <t>4.4 - Secretariat and Auxiliary Services</t>
  </si>
  <si>
    <t>4.5 - General Manager: Corporate Service</t>
  </si>
  <si>
    <t>Electricity</t>
  </si>
  <si>
    <t>Project Management Office</t>
  </si>
  <si>
    <t>Roads and Transportation</t>
  </si>
  <si>
    <t>Water and Sanitation</t>
  </si>
  <si>
    <t xml:space="preserve">General Manager: Infrastructure </t>
  </si>
  <si>
    <t>Infrastructure Services</t>
  </si>
  <si>
    <t>Sustainable Development and City Enterprises</t>
  </si>
  <si>
    <t>City Entities</t>
  </si>
  <si>
    <t>Development Services</t>
  </si>
  <si>
    <t>Human Settlement Development</t>
  </si>
  <si>
    <t>Town Planning</t>
  </si>
  <si>
    <t>General Manager: Sustainable Development and City Enterprises</t>
  </si>
  <si>
    <t>6.1 - City Entities</t>
  </si>
  <si>
    <t>6.2 - Development Services</t>
  </si>
  <si>
    <t>6.3 - Human Settlement Development</t>
  </si>
  <si>
    <t>6.4 - Town Planning</t>
  </si>
  <si>
    <t>6.5 - General Manager: Sustainable Development and City Enterprises</t>
  </si>
  <si>
    <t>5.1 - Electricity</t>
  </si>
  <si>
    <t>5.2 - Project Management Office</t>
  </si>
  <si>
    <t>5.3 - Roads and Transportation</t>
  </si>
  <si>
    <t>5.4 - Water and Sanitation</t>
  </si>
  <si>
    <t xml:space="preserve">5.5 - General Manager: Infrastructure </t>
  </si>
  <si>
    <t>Operating costs-MIG</t>
  </si>
  <si>
    <t xml:space="preserve">Human Settlements - Title Deeds Restoration </t>
  </si>
  <si>
    <t xml:space="preserve">Human Settlements -  Accredited Municipalities </t>
  </si>
  <si>
    <t>Human Settlements -  Accredited Municipal RO</t>
  </si>
  <si>
    <t>Human Settlements -  Housing Development</t>
  </si>
  <si>
    <t>Arts and Culture- Provincialisation</t>
  </si>
  <si>
    <t>Arts and Culture-Museum Subsidies</t>
  </si>
  <si>
    <t>COGTA</t>
  </si>
  <si>
    <t xml:space="preserve"> Municipal Infrastructure Grant (MIG)</t>
  </si>
  <si>
    <t>Municipal Water Infrastructure Grant</t>
  </si>
  <si>
    <t>Human Settlement</t>
  </si>
  <si>
    <t>Housing-Military Veterans</t>
  </si>
  <si>
    <t>Human Settlement - Housing Accreditation</t>
  </si>
  <si>
    <t xml:space="preserve">Arts and Culture-Museum Subsidies - Tatham Art Gallery </t>
  </si>
  <si>
    <t>Call Accounts</t>
  </si>
  <si>
    <t>0333922601</t>
  </si>
  <si>
    <t>Nelisiwe M Ngcobo</t>
  </si>
  <si>
    <t>Public Transport Infrastracture</t>
  </si>
  <si>
    <t>Arts and Culture- Community Library Services</t>
  </si>
  <si>
    <t>Expanded Public Works Grant</t>
  </si>
  <si>
    <t xml:space="preserve"> Public Transport and Systems</t>
  </si>
  <si>
    <t>Dept of Mineral/Electricty</t>
  </si>
  <si>
    <t>Intergrated National Electrification Porgramme</t>
  </si>
  <si>
    <t>Energy Efficiency and Demand Manaagement</t>
  </si>
  <si>
    <t>Airport Development Project</t>
  </si>
  <si>
    <t>KZNPA</t>
  </si>
  <si>
    <t>Airport Grant</t>
  </si>
  <si>
    <t>Pietermaritzburg</t>
  </si>
  <si>
    <t>Private Bag X321</t>
  </si>
  <si>
    <t>Professor Nyembezi</t>
  </si>
  <si>
    <t>341 Church St</t>
  </si>
  <si>
    <t>http://www.msunduzi.gov.za/</t>
  </si>
  <si>
    <t>call.centre@msunduzi.gov.za</t>
  </si>
  <si>
    <t> Nontokozo.Mazibuko@msunduzi.gov.za</t>
  </si>
  <si>
    <t>M Thebolla</t>
  </si>
  <si>
    <t> Ashreena.Jethoo@msunduzi.gov.za</t>
  </si>
  <si>
    <t>M Inderjit</t>
  </si>
  <si>
    <t> Nonhlanhla.mkhize@msunduzi.gov.za</t>
  </si>
  <si>
    <t>N Majola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</si>
</sst>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_);_(* \(#,##0.00\);_(* &quot;-&quot;??_);_(@_)"/>
    <numFmt numFmtId="165" formatCode="_ * #,##0.00_ ;_ * \-#,##0.00_ ;_ * &quot;-&quot;??_ ;_ @_ "/>
    <numFmt numFmtId="166" formatCode="_ * #,##0_ ;_ * \-#,##0_ ;_ * &quot;-&quot;??_ ;_ @_ "/>
    <numFmt numFmtId="167" formatCode="_ * #,##0.0_ ;_ * \-#,##0.0_ ;_ * &quot;-&quot;??_ ;_ @_ "/>
    <numFmt numFmtId="168" formatCode="#,###,;[Red]\(#,###,\)"/>
    <numFmt numFmtId="169" formatCode="0.0%"/>
    <numFmt numFmtId="170" formatCode="#,###,;\(#,###,\)"/>
    <numFmt numFmtId="171" formatCode="#,###,,;\(#,###,,\)"/>
    <numFmt numFmtId="172" formatCode="_(* #,##0,,_);_(* \(#,##0,,\);_(* &quot;–&quot;?_);_(@_)"/>
    <numFmt numFmtId="173" formatCode="_(* #,##0,_);_(* \(#,##0,\);_(* &quot;–&quot;?_);_(@_)"/>
    <numFmt numFmtId="174" formatCode="0%;\-0%;_(* &quot;–&quot;?_);_(@_)"/>
    <numFmt numFmtId="175" formatCode="m/d/yy;@"/>
    <numFmt numFmtId="176" formatCode="0000"/>
    <numFmt numFmtId="177" formatCode="[$-1C09]dd\ mmmm\ yyyy"/>
  </numFmts>
  <fonts count="52" x14ac:knownFonts="1">
    <font>
      <sz val="10"/>
      <name val="Arial"/>
    </font>
    <font>
      <sz val="10"/>
      <name val="Arial"/>
      <family val="2"/>
    </font>
    <font>
      <sz val="8"/>
      <name val="Arial"/>
      <family val="2"/>
    </font>
    <font>
      <b/>
      <sz val="8"/>
      <name val="Arial"/>
      <family val="2"/>
    </font>
    <font>
      <b/>
      <u/>
      <sz val="8"/>
      <name val="Arial"/>
      <family val="2"/>
    </font>
    <font>
      <b/>
      <sz val="10"/>
      <name val="Arial Narrow"/>
      <family val="2"/>
    </font>
    <font>
      <sz val="8"/>
      <name val="Arial Narrow"/>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sz val="10"/>
      <color indexed="9"/>
      <name val="Arial"/>
      <family val="2"/>
    </font>
    <font>
      <b/>
      <sz val="8"/>
      <color indexed="9"/>
      <name val="Arial"/>
      <family val="2"/>
    </font>
    <font>
      <b/>
      <sz val="14"/>
      <color indexed="10"/>
      <name val="Arial"/>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Narrow"/>
      <family val="2"/>
    </font>
    <font>
      <b/>
      <sz val="10"/>
      <name val="Arial"/>
      <family val="2"/>
    </font>
    <font>
      <sz val="10"/>
      <name val="Arial"/>
      <family val="2"/>
    </font>
    <font>
      <i/>
      <sz val="8"/>
      <name val="Arial"/>
      <family val="2"/>
    </font>
    <font>
      <sz val="10"/>
      <name val="Arial"/>
      <family val="2"/>
    </font>
    <font>
      <sz val="6"/>
      <name val="Arial Narrow"/>
      <family val="2"/>
    </font>
    <font>
      <b/>
      <i/>
      <sz val="8"/>
      <name val="Arial"/>
      <family val="2"/>
    </font>
    <font>
      <b/>
      <i/>
      <sz val="10"/>
      <name val="Arial"/>
      <family val="2"/>
    </font>
    <font>
      <b/>
      <sz val="9"/>
      <name val="Arial Narrow"/>
      <family val="2"/>
    </font>
    <font>
      <sz val="9"/>
      <name val="Arial Narrow"/>
      <family val="2"/>
    </font>
    <font>
      <u/>
      <sz val="10"/>
      <name val="Arial Narrow"/>
      <family val="2"/>
    </font>
    <font>
      <sz val="10"/>
      <color indexed="8"/>
      <name val="Arial"/>
      <family val="2"/>
    </font>
    <font>
      <b/>
      <sz val="8"/>
      <name val="Calibri"/>
      <family val="2"/>
    </font>
    <font>
      <i/>
      <sz val="8"/>
      <color theme="0"/>
      <name val="Arial"/>
      <family val="2"/>
    </font>
    <font>
      <b/>
      <i/>
      <sz val="8"/>
      <color theme="0"/>
      <name val="Arial"/>
      <family val="2"/>
    </font>
    <font>
      <b/>
      <i/>
      <sz val="10"/>
      <color theme="0"/>
      <name val="Arial"/>
      <family val="2"/>
    </font>
    <font>
      <b/>
      <i/>
      <u/>
      <sz val="8"/>
      <color theme="0"/>
      <name val="Arial"/>
      <family val="2"/>
    </font>
    <font>
      <sz val="10"/>
      <color rgb="FF00000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theme="6" tint="0.59999389629810485"/>
        <bgColor indexed="64"/>
      </patternFill>
    </fill>
    <fill>
      <patternFill patternType="solid">
        <fgColor theme="6" tint="0.39997558519241921"/>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hair">
        <color indexed="64"/>
      </left>
      <right/>
      <top style="thin">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hair">
        <color indexed="64"/>
      </bottom>
      <diagonal/>
    </border>
  </borders>
  <cellStyleXfs count="47">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35" fillId="0" borderId="0" applyNumberFormat="0" applyFont="0" applyFill="0" applyBorder="0" applyAlignment="0" applyProtection="0">
      <alignment vertical="top"/>
      <protection locked="0"/>
    </xf>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1" fillId="23" borderId="7" applyNumberFormat="0" applyFont="0" applyAlignment="0" applyProtection="0"/>
    <xf numFmtId="0" fontId="30" fillId="20" borderId="8" applyNumberFormat="0" applyAlignment="0" applyProtection="0"/>
    <xf numFmtId="9" fontId="1" fillId="0" borderId="0" applyFont="0" applyFill="0" applyBorder="0" applyAlignment="0" applyProtection="0"/>
    <xf numFmtId="9" fontId="36" fillId="0" borderId="0" applyFon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cellStyleXfs>
  <cellXfs count="1092">
    <xf numFmtId="0" fontId="0" fillId="0" borderId="0" xfId="0"/>
    <xf numFmtId="0" fontId="2" fillId="0" borderId="0" xfId="0" applyFont="1"/>
    <xf numFmtId="0" fontId="2" fillId="0" borderId="10"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4" fillId="0" borderId="0" xfId="0" applyFont="1" applyBorder="1"/>
    <xf numFmtId="0" fontId="2" fillId="0" borderId="0" xfId="0" applyFont="1" applyAlignment="1">
      <alignment horizontal="center"/>
    </xf>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applyAlignment="1">
      <alignment horizontal="center"/>
    </xf>
    <xf numFmtId="0" fontId="2" fillId="0" borderId="11" xfId="0" applyFont="1" applyBorder="1" applyAlignment="1">
      <alignment horizontal="center"/>
    </xf>
    <xf numFmtId="0" fontId="2" fillId="0" borderId="16" xfId="0" applyFont="1" applyBorder="1" applyAlignment="1">
      <alignment horizontal="center"/>
    </xf>
    <xf numFmtId="0" fontId="2" fillId="0" borderId="13" xfId="0" applyFont="1" applyBorder="1" applyAlignment="1">
      <alignment horizontal="center"/>
    </xf>
    <xf numFmtId="0" fontId="2" fillId="0" borderId="17" xfId="0" applyFont="1" applyBorder="1" applyAlignment="1">
      <alignment horizontal="center"/>
    </xf>
    <xf numFmtId="0" fontId="2" fillId="0" borderId="11" xfId="0" quotePrefix="1" applyFont="1" applyBorder="1"/>
    <xf numFmtId="0" fontId="2" fillId="0" borderId="0" xfId="0" quotePrefix="1" applyFont="1" applyBorder="1"/>
    <xf numFmtId="0" fontId="3" fillId="24" borderId="18" xfId="0" applyFont="1" applyFill="1" applyBorder="1" applyAlignment="1">
      <alignment horizontal="center"/>
    </xf>
    <xf numFmtId="0" fontId="7" fillId="0" borderId="19" xfId="0" applyFont="1" applyFill="1" applyBorder="1" applyAlignment="1">
      <alignment horizontal="center" vertical="top" wrapText="1"/>
    </xf>
    <xf numFmtId="0" fontId="7" fillId="0" borderId="15" xfId="0" applyFont="1" applyFill="1" applyBorder="1" applyAlignment="1">
      <alignment horizontal="center" vertical="center"/>
    </xf>
    <xf numFmtId="0" fontId="10" fillId="0" borderId="0" xfId="0" applyFont="1" applyBorder="1" applyAlignment="1">
      <alignment horizontal="left" vertical="top" wrapText="1"/>
    </xf>
    <xf numFmtId="0" fontId="10" fillId="0" borderId="0" xfId="0" applyFont="1" applyFill="1" applyBorder="1" applyAlignment="1">
      <alignment horizontal="left"/>
    </xf>
    <xf numFmtId="0" fontId="10" fillId="0" borderId="0" xfId="0" quotePrefix="1" applyFont="1" applyBorder="1" applyAlignment="1">
      <alignment horizontal="left" wrapText="1"/>
    </xf>
    <xf numFmtId="0" fontId="7" fillId="0" borderId="20" xfId="0" applyFont="1" applyFill="1" applyBorder="1" applyAlignment="1">
      <alignment horizontal="center" vertical="center" wrapText="1"/>
    </xf>
    <xf numFmtId="0" fontId="6" fillId="0" borderId="0" xfId="0" applyFont="1"/>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3" xfId="0" applyFont="1" applyFill="1" applyBorder="1" applyAlignment="1">
      <alignment horizontal="center" vertical="center" wrapText="1"/>
    </xf>
    <xf numFmtId="172" fontId="6" fillId="0" borderId="22" xfId="0" applyNumberFormat="1" applyFont="1" applyBorder="1"/>
    <xf numFmtId="172" fontId="6" fillId="0" borderId="23" xfId="0" applyNumberFormat="1" applyFont="1" applyBorder="1"/>
    <xf numFmtId="0" fontId="6" fillId="0" borderId="17" xfId="0" applyFont="1" applyBorder="1"/>
    <xf numFmtId="172" fontId="6" fillId="0" borderId="24" xfId="0" applyNumberFormat="1" applyFont="1" applyBorder="1"/>
    <xf numFmtId="0" fontId="10" fillId="0" borderId="0" xfId="0" applyFont="1" applyAlignment="1">
      <alignment horizontal="left"/>
    </xf>
    <xf numFmtId="0" fontId="7" fillId="0" borderId="16" xfId="0" applyFont="1" applyFill="1" applyBorder="1" applyAlignment="1">
      <alignment horizontal="left" vertical="center"/>
    </xf>
    <xf numFmtId="0" fontId="9" fillId="0" borderId="11" xfId="0" applyFont="1" applyBorder="1"/>
    <xf numFmtId="0" fontId="7" fillId="0" borderId="23" xfId="0" applyFont="1" applyBorder="1" applyAlignment="1">
      <alignment horizontal="center"/>
    </xf>
    <xf numFmtId="0" fontId="7" fillId="0" borderId="25" xfId="0" applyFont="1" applyBorder="1" applyAlignment="1">
      <alignment horizontal="center"/>
    </xf>
    <xf numFmtId="0" fontId="7" fillId="0" borderId="10" xfId="0" applyFont="1" applyBorder="1" applyAlignment="1">
      <alignment horizontal="center"/>
    </xf>
    <xf numFmtId="0" fontId="6" fillId="0" borderId="11" xfId="0" applyFont="1" applyBorder="1" applyAlignment="1">
      <alignment horizontal="left" indent="1"/>
    </xf>
    <xf numFmtId="170" fontId="6" fillId="0" borderId="10" xfId="0" applyNumberFormat="1" applyFont="1" applyBorder="1"/>
    <xf numFmtId="0" fontId="7" fillId="0" borderId="11" xfId="0" applyFont="1" applyBorder="1" applyAlignment="1">
      <alignment horizontal="left"/>
    </xf>
    <xf numFmtId="0" fontId="6" fillId="0" borderId="11" xfId="0" applyFont="1" applyBorder="1"/>
    <xf numFmtId="173" fontId="6" fillId="0" borderId="0" xfId="0" applyNumberFormat="1" applyFont="1" applyBorder="1"/>
    <xf numFmtId="173" fontId="6" fillId="0" borderId="22" xfId="0" applyNumberFormat="1" applyFont="1" applyBorder="1"/>
    <xf numFmtId="173" fontId="6" fillId="0" borderId="13" xfId="0" applyNumberFormat="1" applyFont="1" applyBorder="1"/>
    <xf numFmtId="173" fontId="6" fillId="0" borderId="26" xfId="0" applyNumberFormat="1" applyFont="1" applyBorder="1"/>
    <xf numFmtId="173" fontId="6" fillId="0" borderId="22" xfId="0" applyNumberFormat="1" applyFont="1" applyFill="1" applyBorder="1"/>
    <xf numFmtId="170" fontId="6" fillId="0" borderId="13" xfId="0" applyNumberFormat="1" applyFont="1" applyFill="1" applyBorder="1"/>
    <xf numFmtId="173" fontId="7" fillId="0" borderId="0" xfId="0" applyNumberFormat="1" applyFont="1" applyBorder="1"/>
    <xf numFmtId="173" fontId="7" fillId="0" borderId="22" xfId="0" applyNumberFormat="1" applyFont="1" applyBorder="1"/>
    <xf numFmtId="173" fontId="7" fillId="0" borderId="26" xfId="0" applyNumberFormat="1" applyFont="1" applyBorder="1"/>
    <xf numFmtId="170" fontId="7" fillId="0" borderId="10" xfId="0" applyNumberFormat="1" applyFont="1" applyBorder="1"/>
    <xf numFmtId="0" fontId="7" fillId="0" borderId="27" xfId="0" applyFont="1" applyBorder="1"/>
    <xf numFmtId="173" fontId="7" fillId="0" borderId="28" xfId="0" applyNumberFormat="1" applyFont="1" applyBorder="1"/>
    <xf numFmtId="173" fontId="7" fillId="0" borderId="29" xfId="0" applyNumberFormat="1" applyFont="1" applyBorder="1"/>
    <xf numFmtId="173" fontId="7" fillId="0" borderId="30" xfId="0" applyNumberFormat="1" applyFont="1" applyBorder="1"/>
    <xf numFmtId="0" fontId="11" fillId="0" borderId="0" xfId="0" applyFont="1" applyBorder="1"/>
    <xf numFmtId="0" fontId="6" fillId="0" borderId="0" xfId="0" applyFont="1" applyBorder="1" applyAlignment="1">
      <alignment horizontal="center"/>
    </xf>
    <xf numFmtId="170" fontId="7" fillId="0" borderId="0" xfId="0" applyNumberFormat="1" applyFont="1" applyFill="1" applyBorder="1"/>
    <xf numFmtId="0" fontId="10" fillId="0" borderId="0" xfId="0" quotePrefix="1" applyFont="1" applyBorder="1"/>
    <xf numFmtId="0" fontId="7" fillId="0" borderId="0" xfId="0" applyFont="1" applyBorder="1"/>
    <xf numFmtId="170" fontId="7" fillId="0" borderId="0" xfId="0" applyNumberFormat="1" applyFont="1" applyBorder="1"/>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applyAlignment="1">
      <alignment horizontal="right"/>
    </xf>
    <xf numFmtId="166" fontId="6" fillId="0" borderId="0" xfId="28" applyNumberFormat="1" applyFont="1"/>
    <xf numFmtId="0" fontId="6" fillId="0" borderId="0" xfId="0" applyFont="1" applyBorder="1"/>
    <xf numFmtId="0" fontId="6" fillId="0" borderId="0" xfId="0" applyFont="1" applyAlignment="1">
      <alignment horizontal="center"/>
    </xf>
    <xf numFmtId="166" fontId="6" fillId="0" borderId="0" xfId="28" applyNumberFormat="1" applyFont="1" applyAlignment="1">
      <alignment horizontal="center"/>
    </xf>
    <xf numFmtId="169" fontId="6" fillId="0" borderId="0" xfId="42" applyNumberFormat="1" applyFont="1" applyAlignment="1">
      <alignment horizontal="center"/>
    </xf>
    <xf numFmtId="166" fontId="6" fillId="0" borderId="0" xfId="0" applyNumberFormat="1" applyFont="1"/>
    <xf numFmtId="169" fontId="6" fillId="0" borderId="0" xfId="0" applyNumberFormat="1" applyFont="1"/>
    <xf numFmtId="173" fontId="7" fillId="0" borderId="31" xfId="0" applyNumberFormat="1" applyFont="1" applyBorder="1"/>
    <xf numFmtId="173" fontId="7" fillId="0" borderId="32" xfId="0" applyNumberFormat="1" applyFont="1" applyBorder="1"/>
    <xf numFmtId="169" fontId="6" fillId="0" borderId="0" xfId="0" applyNumberFormat="1" applyFont="1" applyAlignment="1">
      <alignment horizontal="center"/>
    </xf>
    <xf numFmtId="173" fontId="7" fillId="0" borderId="24" xfId="0" applyNumberFormat="1" applyFont="1" applyBorder="1"/>
    <xf numFmtId="173" fontId="7" fillId="0" borderId="33" xfId="0" applyNumberFormat="1" applyFont="1" applyBorder="1"/>
    <xf numFmtId="0" fontId="11" fillId="0" borderId="0" xfId="0" applyFont="1" applyBorder="1" applyAlignment="1">
      <alignment horizontal="left"/>
    </xf>
    <xf numFmtId="170" fontId="8" fillId="0" borderId="0" xfId="0" applyNumberFormat="1" applyFont="1" applyBorder="1"/>
    <xf numFmtId="0" fontId="10" fillId="0" borderId="0" xfId="0" applyFont="1" applyBorder="1"/>
    <xf numFmtId="0" fontId="10" fillId="0" borderId="11" xfId="0" applyFont="1" applyBorder="1" applyAlignment="1">
      <alignment horizontal="right"/>
    </xf>
    <xf numFmtId="0" fontId="6" fillId="0" borderId="24" xfId="0" applyFont="1" applyFill="1" applyBorder="1" applyAlignment="1">
      <alignment horizontal="center" vertical="center"/>
    </xf>
    <xf numFmtId="173" fontId="7" fillId="0" borderId="34" xfId="0" applyNumberFormat="1" applyFont="1" applyBorder="1"/>
    <xf numFmtId="170" fontId="6" fillId="0" borderId="0" xfId="0" applyNumberFormat="1" applyFont="1" applyBorder="1"/>
    <xf numFmtId="170" fontId="6" fillId="0" borderId="0" xfId="0" applyNumberFormat="1" applyFont="1"/>
    <xf numFmtId="0" fontId="6" fillId="0" borderId="11" xfId="0" applyFont="1" applyFill="1" applyBorder="1" applyAlignment="1">
      <alignment horizontal="left" indent="1"/>
    </xf>
    <xf numFmtId="0" fontId="7" fillId="0" borderId="11" xfId="0" applyFont="1" applyBorder="1"/>
    <xf numFmtId="0" fontId="7" fillId="0" borderId="11" xfId="0" applyFont="1" applyFill="1" applyBorder="1"/>
    <xf numFmtId="0" fontId="10" fillId="0" borderId="11" xfId="0" applyFont="1" applyBorder="1"/>
    <xf numFmtId="168" fontId="7" fillId="0" borderId="0" xfId="0" applyNumberFormat="1" applyFont="1" applyBorder="1"/>
    <xf numFmtId="0" fontId="6" fillId="0" borderId="16" xfId="0" applyFont="1" applyBorder="1"/>
    <xf numFmtId="0" fontId="7" fillId="0" borderId="35" xfId="0" applyFont="1" applyBorder="1"/>
    <xf numFmtId="165" fontId="6" fillId="0" borderId="0" xfId="28" applyFont="1" applyBorder="1"/>
    <xf numFmtId="0" fontId="7" fillId="0" borderId="16" xfId="0" applyFont="1" applyBorder="1"/>
    <xf numFmtId="0" fontId="11" fillId="0" borderId="0" xfId="0" applyFont="1"/>
    <xf numFmtId="0" fontId="6" fillId="0" borderId="0" xfId="0" applyFont="1" applyFill="1" applyBorder="1"/>
    <xf numFmtId="170" fontId="6" fillId="0" borderId="0" xfId="0" applyNumberFormat="1" applyFont="1" applyFill="1" applyBorder="1"/>
    <xf numFmtId="9" fontId="6" fillId="0" borderId="0" xfId="42" applyFont="1"/>
    <xf numFmtId="173" fontId="6" fillId="0" borderId="36" xfId="0" applyNumberFormat="1" applyFont="1" applyBorder="1"/>
    <xf numFmtId="0" fontId="6" fillId="0" borderId="0" xfId="0" applyFont="1" applyFill="1"/>
    <xf numFmtId="173" fontId="6" fillId="0" borderId="36" xfId="0" applyNumberFormat="1" applyFont="1" applyFill="1" applyBorder="1"/>
    <xf numFmtId="173" fontId="7" fillId="0" borderId="22" xfId="0" applyNumberFormat="1" applyFont="1" applyFill="1" applyBorder="1"/>
    <xf numFmtId="170" fontId="6" fillId="0" borderId="22" xfId="0" applyNumberFormat="1" applyFont="1" applyBorder="1"/>
    <xf numFmtId="170" fontId="6" fillId="0" borderId="26" xfId="0" applyNumberFormat="1" applyFont="1" applyBorder="1"/>
    <xf numFmtId="0" fontId="6" fillId="0" borderId="11" xfId="0" applyFont="1" applyFill="1" applyBorder="1"/>
    <xf numFmtId="0" fontId="7" fillId="0" borderId="11" xfId="0" applyFont="1" applyBorder="1" applyAlignment="1">
      <alignment horizontal="left" indent="1"/>
    </xf>
    <xf numFmtId="0" fontId="6" fillId="0" borderId="11" xfId="0" applyFont="1" applyBorder="1" applyAlignment="1">
      <alignment horizontal="left" indent="2"/>
    </xf>
    <xf numFmtId="173" fontId="6" fillId="0" borderId="37" xfId="0" applyNumberFormat="1" applyFont="1" applyBorder="1"/>
    <xf numFmtId="173" fontId="7" fillId="0" borderId="10" xfId="0" applyNumberFormat="1" applyFont="1" applyBorder="1"/>
    <xf numFmtId="173" fontId="7" fillId="0" borderId="37" xfId="0" applyNumberFormat="1" applyFont="1" applyBorder="1"/>
    <xf numFmtId="0" fontId="6" fillId="0" borderId="11" xfId="0" applyFont="1" applyBorder="1" applyAlignment="1">
      <alignment horizontal="left" wrapText="1" indent="1"/>
    </xf>
    <xf numFmtId="173" fontId="7" fillId="0" borderId="38" xfId="0" applyNumberFormat="1" applyFont="1" applyBorder="1"/>
    <xf numFmtId="0" fontId="7" fillId="0" borderId="27" xfId="0" applyFont="1" applyFill="1" applyBorder="1"/>
    <xf numFmtId="0" fontId="6" fillId="0" borderId="0" xfId="0" applyFont="1" applyFill="1" applyBorder="1" applyAlignment="1">
      <alignment horizontal="center"/>
    </xf>
    <xf numFmtId="173" fontId="6" fillId="0" borderId="24" xfId="0" applyNumberFormat="1" applyFont="1" applyBorder="1"/>
    <xf numFmtId="173" fontId="6" fillId="0" borderId="33" xfId="0" applyNumberFormat="1" applyFont="1" applyBorder="1"/>
    <xf numFmtId="170" fontId="6" fillId="0" borderId="0" xfId="28" applyNumberFormat="1" applyFont="1" applyBorder="1"/>
    <xf numFmtId="166" fontId="6" fillId="0" borderId="0" xfId="28" applyNumberFormat="1" applyFont="1" applyBorder="1"/>
    <xf numFmtId="0" fontId="6" fillId="0" borderId="19" xfId="0" applyFont="1" applyBorder="1" applyAlignment="1">
      <alignment horizontal="center"/>
    </xf>
    <xf numFmtId="169" fontId="6" fillId="0" borderId="10" xfId="42" applyNumberFormat="1" applyFont="1" applyFill="1" applyBorder="1" applyAlignment="1">
      <alignment horizontal="center" vertical="top" wrapText="1"/>
    </xf>
    <xf numFmtId="0" fontId="10" fillId="0" borderId="0" xfId="0" applyFont="1"/>
    <xf numFmtId="0" fontId="9" fillId="0" borderId="15" xfId="0" applyFont="1" applyBorder="1" applyAlignment="1">
      <alignment horizontal="left" wrapText="1"/>
    </xf>
    <xf numFmtId="0" fontId="6" fillId="0" borderId="11" xfId="0" applyFont="1" applyBorder="1" applyAlignment="1">
      <alignment horizontal="left" vertical="top" wrapText="1"/>
    </xf>
    <xf numFmtId="169" fontId="6" fillId="0" borderId="22" xfId="42" applyNumberFormat="1" applyFont="1" applyFill="1" applyBorder="1" applyAlignment="1">
      <alignment horizontal="center" vertical="top" wrapText="1"/>
    </xf>
    <xf numFmtId="169" fontId="6" fillId="0" borderId="0" xfId="42" applyNumberFormat="1" applyFont="1" applyFill="1" applyBorder="1" applyAlignment="1">
      <alignment horizontal="center" vertical="top" wrapText="1"/>
    </xf>
    <xf numFmtId="0" fontId="6" fillId="0" borderId="11" xfId="0" applyFont="1" applyBorder="1" applyAlignment="1">
      <alignment horizontal="left" vertical="top" wrapText="1" indent="1"/>
    </xf>
    <xf numFmtId="0" fontId="9" fillId="0" borderId="11" xfId="0" applyFont="1" applyBorder="1" applyAlignment="1">
      <alignment horizontal="left" wrapText="1"/>
    </xf>
    <xf numFmtId="0" fontId="9" fillId="0" borderId="11" xfId="0" applyFont="1" applyBorder="1" applyAlignment="1">
      <alignment horizontal="left" vertical="top" wrapText="1"/>
    </xf>
    <xf numFmtId="0" fontId="6" fillId="0" borderId="16" xfId="0" applyFont="1" applyBorder="1" applyAlignment="1">
      <alignment horizontal="left" indent="1"/>
    </xf>
    <xf numFmtId="0" fontId="6" fillId="0" borderId="39"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9" fontId="6" fillId="0" borderId="24" xfId="42" applyFont="1" applyBorder="1" applyAlignment="1">
      <alignment horizontal="center"/>
    </xf>
    <xf numFmtId="173" fontId="6" fillId="0" borderId="10" xfId="0" applyNumberFormat="1" applyFont="1" applyBorder="1"/>
    <xf numFmtId="166" fontId="6" fillId="0" borderId="0" xfId="28" applyNumberFormat="1" applyFont="1" applyFill="1" applyBorder="1"/>
    <xf numFmtId="0" fontId="9" fillId="0" borderId="40" xfId="0" applyFont="1" applyBorder="1"/>
    <xf numFmtId="0" fontId="7" fillId="0" borderId="41" xfId="0" applyFont="1" applyFill="1" applyBorder="1" applyAlignment="1">
      <alignment horizontal="centerContinuous" vertical="center" wrapText="1"/>
    </xf>
    <xf numFmtId="0" fontId="7" fillId="0" borderId="20" xfId="0" applyFont="1" applyFill="1" applyBorder="1" applyAlignment="1">
      <alignment horizontal="centerContinuous" vertical="center" wrapText="1"/>
    </xf>
    <xf numFmtId="0" fontId="7" fillId="0" borderId="42" xfId="0" applyFont="1" applyFill="1" applyBorder="1" applyAlignment="1">
      <alignment horizontal="centerContinuous" vertical="center" wrapText="1"/>
    </xf>
    <xf numFmtId="0" fontId="7" fillId="0" borderId="39"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173" fontId="6" fillId="0" borderId="46" xfId="0" applyNumberFormat="1" applyFont="1" applyBorder="1"/>
    <xf numFmtId="173" fontId="7" fillId="0" borderId="47" xfId="0" applyNumberFormat="1" applyFont="1" applyBorder="1"/>
    <xf numFmtId="9" fontId="7" fillId="0" borderId="22" xfId="42" applyFont="1" applyBorder="1" applyAlignment="1">
      <alignment horizontal="center"/>
    </xf>
    <xf numFmtId="9" fontId="7" fillId="0" borderId="0" xfId="42" applyFont="1" applyBorder="1" applyAlignment="1">
      <alignment horizontal="center"/>
    </xf>
    <xf numFmtId="0" fontId="10" fillId="0" borderId="0" xfId="0" applyFont="1" applyFill="1" applyAlignment="1">
      <alignment horizontal="center"/>
    </xf>
    <xf numFmtId="0" fontId="7" fillId="0" borderId="48"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9" fillId="0" borderId="39" xfId="0" applyNumberFormat="1" applyFont="1" applyBorder="1"/>
    <xf numFmtId="0" fontId="6" fillId="0" borderId="10" xfId="0" applyNumberFormat="1" applyFont="1" applyBorder="1" applyAlignment="1">
      <alignment horizontal="left" indent="1"/>
    </xf>
    <xf numFmtId="0" fontId="7" fillId="0" borderId="10" xfId="0" applyNumberFormat="1" applyFont="1" applyBorder="1"/>
    <xf numFmtId="0" fontId="6" fillId="0" borderId="19" xfId="0" applyNumberFormat="1" applyFont="1" applyBorder="1"/>
    <xf numFmtId="0" fontId="9" fillId="0" borderId="10" xfId="0" applyNumberFormat="1" applyFont="1" applyBorder="1"/>
    <xf numFmtId="171" fontId="6" fillId="0" borderId="0" xfId="0" applyNumberFormat="1" applyFont="1"/>
    <xf numFmtId="0" fontId="6" fillId="0" borderId="19" xfId="0" applyFont="1" applyBorder="1"/>
    <xf numFmtId="0" fontId="7" fillId="0" borderId="42" xfId="0" applyFont="1" applyFill="1" applyBorder="1" applyAlignment="1">
      <alignment horizontal="center" vertical="center" wrapText="1"/>
    </xf>
    <xf numFmtId="0" fontId="7" fillId="0" borderId="10" xfId="0" applyFont="1" applyFill="1" applyBorder="1" applyAlignment="1">
      <alignment horizontal="center" vertical="center" wrapText="1"/>
    </xf>
    <xf numFmtId="173" fontId="6" fillId="0" borderId="38" xfId="0" applyNumberFormat="1" applyFont="1" applyBorder="1"/>
    <xf numFmtId="173" fontId="6" fillId="0" borderId="31" xfId="0" applyNumberFormat="1" applyFont="1" applyBorder="1"/>
    <xf numFmtId="0" fontId="5" fillId="0" borderId="0" xfId="0" applyFont="1" applyFill="1" applyBorder="1" applyAlignment="1">
      <alignment horizontal="left"/>
    </xf>
    <xf numFmtId="0" fontId="7" fillId="0" borderId="37"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6" fillId="0" borderId="22" xfId="0" applyFont="1" applyBorder="1"/>
    <xf numFmtId="0" fontId="6" fillId="0" borderId="10" xfId="0" applyFont="1" applyBorder="1"/>
    <xf numFmtId="0" fontId="7" fillId="0" borderId="0" xfId="0" applyFont="1" applyBorder="1" applyAlignment="1">
      <alignment horizontal="center"/>
    </xf>
    <xf numFmtId="0" fontId="6" fillId="0" borderId="11" xfId="0" applyFont="1" applyBorder="1" applyAlignment="1">
      <alignment horizontal="center"/>
    </xf>
    <xf numFmtId="0" fontId="6" fillId="0" borderId="10" xfId="0" applyFont="1" applyBorder="1" applyAlignment="1">
      <alignment horizontal="center"/>
    </xf>
    <xf numFmtId="0" fontId="7" fillId="0" borderId="39" xfId="0" applyFont="1" applyBorder="1" applyAlignment="1">
      <alignment horizontal="center"/>
    </xf>
    <xf numFmtId="0" fontId="6" fillId="0" borderId="10" xfId="0" applyFont="1" applyFill="1" applyBorder="1" applyAlignment="1">
      <alignment horizontal="center"/>
    </xf>
    <xf numFmtId="0" fontId="6" fillId="0" borderId="10" xfId="0" applyFont="1" applyFill="1" applyBorder="1"/>
    <xf numFmtId="9" fontId="7" fillId="0" borderId="10" xfId="42" applyFont="1" applyBorder="1" applyAlignment="1">
      <alignment horizontal="center"/>
    </xf>
    <xf numFmtId="0" fontId="6" fillId="0" borderId="10" xfId="0" applyFont="1" applyBorder="1" applyAlignment="1">
      <alignment horizontal="left" vertical="top" wrapText="1"/>
    </xf>
    <xf numFmtId="0" fontId="12" fillId="0" borderId="10" xfId="0" applyFont="1" applyBorder="1" applyAlignment="1">
      <alignment horizontal="center"/>
    </xf>
    <xf numFmtId="170" fontId="6" fillId="0" borderId="19" xfId="0" applyNumberFormat="1" applyFont="1" applyBorder="1"/>
    <xf numFmtId="0" fontId="6" fillId="0" borderId="19" xfId="0" applyFont="1" applyFill="1" applyBorder="1"/>
    <xf numFmtId="0" fontId="6" fillId="0" borderId="19" xfId="0" applyFont="1" applyBorder="1" applyAlignment="1">
      <alignment horizontal="left" vertical="top" wrapText="1"/>
    </xf>
    <xf numFmtId="0" fontId="6" fillId="0" borderId="39" xfId="0" applyFont="1" applyBorder="1"/>
    <xf numFmtId="0" fontId="9" fillId="0" borderId="39" xfId="0" applyFont="1" applyBorder="1"/>
    <xf numFmtId="170" fontId="7" fillId="0" borderId="10" xfId="0" applyNumberFormat="1" applyFont="1" applyFill="1" applyBorder="1"/>
    <xf numFmtId="0" fontId="9" fillId="0" borderId="15" xfId="0" applyFont="1" applyBorder="1"/>
    <xf numFmtId="0" fontId="6" fillId="0" borderId="0" xfId="0" applyFont="1" applyBorder="1" applyAlignment="1">
      <alignment horizontal="left"/>
    </xf>
    <xf numFmtId="0" fontId="6" fillId="0" borderId="13" xfId="0" applyFont="1" applyBorder="1"/>
    <xf numFmtId="0" fontId="6" fillId="0" borderId="11" xfId="0" applyFont="1" applyBorder="1" applyAlignment="1"/>
    <xf numFmtId="0" fontId="6" fillId="0" borderId="39" xfId="0" applyFont="1" applyBorder="1" applyAlignment="1">
      <alignment horizontal="center"/>
    </xf>
    <xf numFmtId="0" fontId="6" fillId="0" borderId="19"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46" xfId="0" applyFont="1" applyFill="1" applyBorder="1" applyAlignment="1">
      <alignment horizontal="center" vertical="center" wrapText="1"/>
    </xf>
    <xf numFmtId="173" fontId="6" fillId="0" borderId="50" xfId="0" applyNumberFormat="1" applyFont="1" applyBorder="1"/>
    <xf numFmtId="0" fontId="6" fillId="0" borderId="26" xfId="0" applyFont="1" applyFill="1" applyBorder="1"/>
    <xf numFmtId="0" fontId="6" fillId="0" borderId="22" xfId="0" applyFont="1" applyFill="1" applyBorder="1"/>
    <xf numFmtId="0" fontId="6" fillId="0" borderId="46" xfId="0" applyFont="1" applyFill="1" applyBorder="1"/>
    <xf numFmtId="173" fontId="7" fillId="0" borderId="46" xfId="0" applyNumberFormat="1" applyFont="1" applyBorder="1"/>
    <xf numFmtId="173" fontId="6" fillId="0" borderId="51" xfId="0" applyNumberFormat="1" applyFont="1" applyBorder="1"/>
    <xf numFmtId="172" fontId="6" fillId="0" borderId="26" xfId="0" applyNumberFormat="1" applyFont="1" applyBorder="1"/>
    <xf numFmtId="172" fontId="6" fillId="0" borderId="10" xfId="0" applyNumberFormat="1" applyFont="1" applyBorder="1"/>
    <xf numFmtId="171" fontId="6" fillId="0" borderId="19" xfId="0" applyNumberFormat="1" applyFont="1" applyFill="1" applyBorder="1"/>
    <xf numFmtId="0" fontId="7" fillId="0" borderId="52" xfId="0" applyFont="1" applyFill="1" applyBorder="1" applyAlignment="1">
      <alignment horizontal="center" vertical="center" wrapText="1"/>
    </xf>
    <xf numFmtId="9" fontId="6" fillId="0" borderId="22" xfId="42" applyFont="1" applyFill="1" applyBorder="1" applyAlignment="1">
      <alignment horizontal="center"/>
    </xf>
    <xf numFmtId="172" fontId="6" fillId="0" borderId="46" xfId="0" applyNumberFormat="1" applyFont="1" applyBorder="1"/>
    <xf numFmtId="171" fontId="6" fillId="0" borderId="33" xfId="0" applyNumberFormat="1" applyFont="1" applyFill="1" applyBorder="1"/>
    <xf numFmtId="171" fontId="6" fillId="0" borderId="24" xfId="0" applyNumberFormat="1" applyFont="1" applyFill="1" applyBorder="1"/>
    <xf numFmtId="171" fontId="6" fillId="0" borderId="50" xfId="0" applyNumberFormat="1" applyFont="1" applyFill="1" applyBorder="1"/>
    <xf numFmtId="9" fontId="7" fillId="0" borderId="43" xfId="42" applyFont="1" applyFill="1" applyBorder="1" applyAlignment="1">
      <alignment horizontal="center" vertical="center" wrapText="1"/>
    </xf>
    <xf numFmtId="174" fontId="7" fillId="0" borderId="22" xfId="42" applyNumberFormat="1" applyFont="1" applyBorder="1"/>
    <xf numFmtId="174" fontId="6" fillId="0" borderId="22" xfId="42" applyNumberFormat="1" applyFont="1" applyBorder="1"/>
    <xf numFmtId="174" fontId="6" fillId="0" borderId="36" xfId="42" applyNumberFormat="1" applyFont="1" applyBorder="1"/>
    <xf numFmtId="172" fontId="6" fillId="0" borderId="19" xfId="0" applyNumberFormat="1" applyFont="1" applyBorder="1"/>
    <xf numFmtId="172" fontId="6" fillId="0" borderId="33" xfId="0" applyNumberFormat="1" applyFont="1" applyBorder="1"/>
    <xf numFmtId="174" fontId="6" fillId="0" borderId="24" xfId="42" applyNumberFormat="1" applyFont="1" applyBorder="1"/>
    <xf numFmtId="172" fontId="6" fillId="0" borderId="50" xfId="0" applyNumberFormat="1" applyFont="1" applyBorder="1"/>
    <xf numFmtId="172" fontId="6" fillId="0" borderId="39" xfId="0" applyNumberFormat="1" applyFont="1" applyBorder="1"/>
    <xf numFmtId="172" fontId="6" fillId="0" borderId="25" xfId="0" applyNumberFormat="1" applyFont="1" applyBorder="1"/>
    <xf numFmtId="174" fontId="6" fillId="0" borderId="23" xfId="42" applyNumberFormat="1" applyFont="1" applyBorder="1"/>
    <xf numFmtId="172" fontId="6" fillId="0" borderId="53" xfId="0" applyNumberFormat="1" applyFont="1" applyBorder="1"/>
    <xf numFmtId="172" fontId="6" fillId="25" borderId="22" xfId="0" applyNumberFormat="1" applyFont="1" applyFill="1" applyBorder="1"/>
    <xf numFmtId="172" fontId="6" fillId="25" borderId="24" xfId="0" applyNumberFormat="1" applyFont="1" applyFill="1" applyBorder="1"/>
    <xf numFmtId="174" fontId="6" fillId="25" borderId="22" xfId="42" applyNumberFormat="1" applyFont="1" applyFill="1" applyBorder="1"/>
    <xf numFmtId="174" fontId="6" fillId="25" borderId="24" xfId="42" applyNumberFormat="1" applyFont="1" applyFill="1" applyBorder="1"/>
    <xf numFmtId="0" fontId="10" fillId="0" borderId="0" xfId="0" applyFont="1" applyFill="1"/>
    <xf numFmtId="0" fontId="6" fillId="0" borderId="33" xfId="0" applyFont="1" applyFill="1" applyBorder="1" applyAlignment="1">
      <alignment horizontal="center" vertical="center"/>
    </xf>
    <xf numFmtId="0" fontId="6" fillId="0" borderId="50" xfId="0" applyFont="1" applyFill="1" applyBorder="1" applyAlignment="1">
      <alignment horizontal="center" vertical="center"/>
    </xf>
    <xf numFmtId="0" fontId="7" fillId="0" borderId="11" xfId="0" applyFont="1" applyFill="1" applyBorder="1" applyAlignment="1">
      <alignment horizontal="left" vertical="center"/>
    </xf>
    <xf numFmtId="173" fontId="6" fillId="0" borderId="19" xfId="0" applyNumberFormat="1" applyFont="1" applyBorder="1"/>
    <xf numFmtId="0" fontId="7" fillId="0" borderId="53" xfId="0" applyFont="1" applyBorder="1" applyAlignment="1">
      <alignment horizontal="center"/>
    </xf>
    <xf numFmtId="9" fontId="7" fillId="0" borderId="22" xfId="42" applyFont="1" applyFill="1" applyBorder="1" applyAlignment="1">
      <alignment horizontal="center" vertical="center" wrapText="1"/>
    </xf>
    <xf numFmtId="0" fontId="6" fillId="0" borderId="26" xfId="0" applyFont="1" applyBorder="1"/>
    <xf numFmtId="0" fontId="7" fillId="0" borderId="21" xfId="0" applyFont="1" applyFill="1" applyBorder="1" applyAlignment="1">
      <alignment horizontal="centerContinuous" vertical="center" wrapText="1"/>
    </xf>
    <xf numFmtId="0" fontId="7" fillId="0" borderId="44" xfId="0" applyFont="1" applyFill="1" applyBorder="1" applyAlignment="1">
      <alignment horizontal="centerContinuous" vertical="center" wrapText="1"/>
    </xf>
    <xf numFmtId="0" fontId="7" fillId="0" borderId="48" xfId="0" applyFont="1" applyFill="1" applyBorder="1" applyAlignment="1">
      <alignment horizontal="centerContinuous" vertical="center" wrapText="1"/>
    </xf>
    <xf numFmtId="0" fontId="6" fillId="0" borderId="54" xfId="0" applyNumberFormat="1" applyFont="1" applyBorder="1" applyAlignment="1">
      <alignment horizontal="left" indent="1"/>
    </xf>
    <xf numFmtId="0" fontId="6" fillId="0" borderId="55" xfId="0" applyFont="1" applyBorder="1" applyAlignment="1">
      <alignment horizontal="center"/>
    </xf>
    <xf numFmtId="173" fontId="7" fillId="0" borderId="50" xfId="0" applyNumberFormat="1" applyFont="1" applyBorder="1"/>
    <xf numFmtId="173" fontId="7" fillId="0" borderId="56" xfId="0" applyNumberFormat="1" applyFont="1" applyBorder="1"/>
    <xf numFmtId="0" fontId="6" fillId="0" borderId="38" xfId="0" applyFont="1" applyBorder="1" applyAlignment="1">
      <alignment horizontal="center"/>
    </xf>
    <xf numFmtId="0" fontId="7" fillId="0" borderId="26" xfId="0" applyFont="1" applyBorder="1" applyAlignment="1">
      <alignment horizontal="center"/>
    </xf>
    <xf numFmtId="0" fontId="7" fillId="0" borderId="22" xfId="0" applyFont="1" applyBorder="1" applyAlignment="1">
      <alignment horizontal="center"/>
    </xf>
    <xf numFmtId="0" fontId="7" fillId="0" borderId="46" xfId="0" applyFont="1" applyBorder="1" applyAlignment="1">
      <alignment horizontal="center"/>
    </xf>
    <xf numFmtId="0" fontId="6" fillId="0" borderId="33" xfId="0" applyFont="1" applyBorder="1"/>
    <xf numFmtId="0" fontId="6" fillId="0" borderId="24" xfId="0" applyFont="1" applyBorder="1"/>
    <xf numFmtId="9" fontId="7" fillId="0" borderId="24" xfId="42" applyFont="1" applyFill="1" applyBorder="1" applyAlignment="1">
      <alignment horizontal="center" vertical="center"/>
    </xf>
    <xf numFmtId="173" fontId="7" fillId="0" borderId="55" xfId="0" applyNumberFormat="1" applyFont="1" applyBorder="1"/>
    <xf numFmtId="173" fontId="7" fillId="0" borderId="19" xfId="0" applyNumberFormat="1" applyFont="1" applyBorder="1"/>
    <xf numFmtId="0" fontId="7" fillId="0" borderId="57" xfId="0" applyFont="1" applyFill="1" applyBorder="1" applyAlignment="1">
      <alignment horizontal="centerContinuous" vertical="center" wrapText="1"/>
    </xf>
    <xf numFmtId="0" fontId="6" fillId="0" borderId="58" xfId="0" applyFont="1" applyBorder="1"/>
    <xf numFmtId="0" fontId="6" fillId="0" borderId="59" xfId="0" applyFont="1" applyBorder="1" applyAlignment="1">
      <alignment horizontal="left" indent="1"/>
    </xf>
    <xf numFmtId="0" fontId="6" fillId="0" borderId="54" xfId="0" applyFont="1" applyBorder="1" applyAlignment="1">
      <alignment horizontal="center"/>
    </xf>
    <xf numFmtId="173" fontId="6" fillId="0" borderId="54" xfId="0" applyNumberFormat="1" applyFont="1" applyBorder="1"/>
    <xf numFmtId="0" fontId="7" fillId="0" borderId="11" xfId="0" applyFont="1" applyBorder="1" applyAlignment="1">
      <alignment vertical="top" wrapText="1"/>
    </xf>
    <xf numFmtId="0" fontId="6" fillId="0" borderId="10" xfId="0" applyFont="1" applyBorder="1" applyAlignment="1">
      <alignment horizontal="center" vertical="top"/>
    </xf>
    <xf numFmtId="173" fontId="7" fillId="0" borderId="10" xfId="0" applyNumberFormat="1" applyFont="1" applyBorder="1" applyAlignment="1">
      <alignment vertical="top"/>
    </xf>
    <xf numFmtId="173" fontId="7" fillId="0" borderId="26" xfId="0" applyNumberFormat="1" applyFont="1" applyBorder="1" applyAlignment="1">
      <alignment vertical="top"/>
    </xf>
    <xf numFmtId="173" fontId="7" fillId="0" borderId="22" xfId="0" applyNumberFormat="1" applyFont="1" applyBorder="1" applyAlignment="1">
      <alignment vertical="top"/>
    </xf>
    <xf numFmtId="173" fontId="7" fillId="0" borderId="46" xfId="0" applyNumberFormat="1" applyFont="1" applyBorder="1" applyAlignment="1">
      <alignment vertical="top"/>
    </xf>
    <xf numFmtId="0" fontId="6" fillId="0" borderId="59" xfId="0" applyFont="1" applyBorder="1" applyAlignment="1">
      <alignment horizontal="left" wrapText="1" indent="1"/>
    </xf>
    <xf numFmtId="0" fontId="7" fillId="0" borderId="60" xfId="0" applyFont="1" applyFill="1" applyBorder="1" applyAlignment="1">
      <alignment horizontal="center" vertical="center" wrapText="1"/>
    </xf>
    <xf numFmtId="173" fontId="6" fillId="0" borderId="45" xfId="0" applyNumberFormat="1" applyFont="1" applyBorder="1"/>
    <xf numFmtId="173" fontId="7" fillId="0" borderId="45" xfId="0" applyNumberFormat="1" applyFont="1" applyBorder="1"/>
    <xf numFmtId="173" fontId="7" fillId="0" borderId="61" xfId="0" applyNumberFormat="1" applyFont="1" applyBorder="1"/>
    <xf numFmtId="173" fontId="6" fillId="0" borderId="55" xfId="0" applyNumberFormat="1" applyFont="1" applyBorder="1"/>
    <xf numFmtId="173" fontId="6" fillId="0" borderId="61" xfId="0" applyNumberFormat="1" applyFont="1" applyBorder="1"/>
    <xf numFmtId="173" fontId="6" fillId="0" borderId="47" xfId="0" applyNumberFormat="1" applyFont="1" applyBorder="1"/>
    <xf numFmtId="173" fontId="6" fillId="0" borderId="62" xfId="0" applyNumberFormat="1" applyFont="1" applyBorder="1"/>
    <xf numFmtId="173" fontId="7" fillId="0" borderId="58" xfId="0" applyNumberFormat="1" applyFont="1" applyBorder="1"/>
    <xf numFmtId="170" fontId="6" fillId="0" borderId="46" xfId="0" applyNumberFormat="1" applyFont="1" applyBorder="1"/>
    <xf numFmtId="0" fontId="7" fillId="0" borderId="63" xfId="0" applyFont="1" applyBorder="1" applyAlignment="1">
      <alignment horizontal="center"/>
    </xf>
    <xf numFmtId="170" fontId="6" fillId="0" borderId="45" xfId="0" applyNumberFormat="1" applyFont="1" applyBorder="1"/>
    <xf numFmtId="0" fontId="7" fillId="0" borderId="39" xfId="0" applyFont="1" applyFill="1" applyBorder="1" applyAlignment="1">
      <alignment horizontal="centerContinuous" vertical="center" wrapText="1"/>
    </xf>
    <xf numFmtId="0" fontId="7" fillId="0" borderId="15" xfId="0" applyFont="1" applyFill="1" applyBorder="1" applyAlignment="1">
      <alignment horizontal="center" vertical="center" wrapText="1"/>
    </xf>
    <xf numFmtId="173" fontId="7" fillId="0" borderId="64" xfId="0" applyNumberFormat="1" applyFont="1" applyBorder="1"/>
    <xf numFmtId="0" fontId="7" fillId="0" borderId="15" xfId="0" applyFont="1" applyBorder="1"/>
    <xf numFmtId="173" fontId="6" fillId="25" borderId="22" xfId="0" applyNumberFormat="1" applyFont="1" applyFill="1" applyBorder="1"/>
    <xf numFmtId="173" fontId="6" fillId="25" borderId="24" xfId="0" applyNumberFormat="1" applyFont="1" applyFill="1" applyBorder="1"/>
    <xf numFmtId="0" fontId="7" fillId="0" borderId="65" xfId="0" applyFont="1" applyFill="1" applyBorder="1" applyAlignment="1">
      <alignment horizontal="centerContinuous" vertical="center" wrapText="1"/>
    </xf>
    <xf numFmtId="169" fontId="6" fillId="0" borderId="46" xfId="42" applyNumberFormat="1" applyFont="1" applyFill="1" applyBorder="1" applyAlignment="1">
      <alignment horizontal="center" vertical="top" wrapText="1"/>
    </xf>
    <xf numFmtId="0" fontId="6" fillId="0" borderId="16" xfId="0" applyFont="1" applyBorder="1" applyAlignment="1">
      <alignment horizontal="left" vertical="top" wrapText="1" indent="1"/>
    </xf>
    <xf numFmtId="9" fontId="6" fillId="0" borderId="63" xfId="0" applyNumberFormat="1" applyFont="1" applyBorder="1" applyAlignment="1">
      <alignment horizontal="center" vertical="top"/>
    </xf>
    <xf numFmtId="9" fontId="6" fillId="0" borderId="23" xfId="0" applyNumberFormat="1" applyFont="1" applyBorder="1" applyAlignment="1">
      <alignment horizontal="center" vertical="top"/>
    </xf>
    <xf numFmtId="9" fontId="6" fillId="0" borderId="53" xfId="0" applyNumberFormat="1" applyFont="1" applyBorder="1" applyAlignment="1">
      <alignment horizontal="center" vertical="top"/>
    </xf>
    <xf numFmtId="0" fontId="9" fillId="0" borderId="11" xfId="0" applyFont="1" applyBorder="1" applyAlignment="1">
      <alignment horizontal="left" vertical="top"/>
    </xf>
    <xf numFmtId="169" fontId="6" fillId="0" borderId="45" xfId="42" applyNumberFormat="1" applyFont="1" applyFill="1" applyBorder="1" applyAlignment="1">
      <alignment horizontal="center" vertical="top" wrapText="1"/>
    </xf>
    <xf numFmtId="0" fontId="9" fillId="0" borderId="10" xfId="0" applyFont="1" applyBorder="1" applyAlignment="1">
      <alignment horizontal="left" vertical="top" wrapText="1"/>
    </xf>
    <xf numFmtId="0" fontId="7" fillId="0" borderId="38" xfId="0" applyFont="1" applyBorder="1" applyAlignment="1">
      <alignment horizontal="center"/>
    </xf>
    <xf numFmtId="0" fontId="6" fillId="0" borderId="46" xfId="0" applyFont="1" applyBorder="1"/>
    <xf numFmtId="0" fontId="6" fillId="0" borderId="37" xfId="0" applyFont="1" applyBorder="1"/>
    <xf numFmtId="0" fontId="6" fillId="0" borderId="45" xfId="0" applyFont="1" applyBorder="1"/>
    <xf numFmtId="171" fontId="6" fillId="0" borderId="0" xfId="0" applyNumberFormat="1" applyFont="1" applyFill="1" applyBorder="1"/>
    <xf numFmtId="174" fontId="6" fillId="0" borderId="0" xfId="42" applyNumberFormat="1" applyFont="1" applyBorder="1"/>
    <xf numFmtId="169" fontId="7" fillId="0" borderId="29" xfId="42" applyNumberFormat="1" applyFont="1" applyFill="1" applyBorder="1" applyAlignment="1">
      <alignment horizontal="center" vertical="top" wrapText="1"/>
    </xf>
    <xf numFmtId="0" fontId="7" fillId="0" borderId="59" xfId="0" applyFont="1" applyFill="1" applyBorder="1" applyAlignment="1">
      <alignment horizontal="left" vertical="center"/>
    </xf>
    <xf numFmtId="0" fontId="6" fillId="0" borderId="54" xfId="0" applyFont="1" applyFill="1" applyBorder="1" applyAlignment="1">
      <alignment horizontal="center" vertical="center"/>
    </xf>
    <xf numFmtId="0" fontId="6" fillId="0" borderId="66" xfId="0" applyFont="1" applyBorder="1"/>
    <xf numFmtId="0" fontId="6" fillId="0" borderId="36" xfId="0" applyFont="1" applyBorder="1"/>
    <xf numFmtId="0" fontId="6" fillId="0" borderId="36" xfId="0" applyFont="1" applyFill="1" applyBorder="1" applyAlignment="1">
      <alignment horizontal="center" vertical="center"/>
    </xf>
    <xf numFmtId="9" fontId="7" fillId="0" borderId="36" xfId="42" applyFont="1" applyFill="1" applyBorder="1" applyAlignment="1">
      <alignment horizontal="center" vertical="center"/>
    </xf>
    <xf numFmtId="0" fontId="6" fillId="0" borderId="51" xfId="0" applyFont="1" applyFill="1" applyBorder="1" applyAlignment="1">
      <alignment horizontal="center" vertical="center"/>
    </xf>
    <xf numFmtId="0" fontId="6" fillId="0" borderId="62" xfId="0" applyFont="1" applyBorder="1"/>
    <xf numFmtId="173" fontId="6" fillId="0" borderId="58" xfId="0" applyNumberFormat="1" applyFont="1" applyBorder="1"/>
    <xf numFmtId="170" fontId="7" fillId="0" borderId="26" xfId="0" applyNumberFormat="1" applyFont="1" applyBorder="1"/>
    <xf numFmtId="170" fontId="7" fillId="0" borderId="22" xfId="0" applyNumberFormat="1" applyFont="1" applyBorder="1"/>
    <xf numFmtId="170" fontId="7" fillId="0" borderId="46" xfId="0" applyNumberFormat="1" applyFont="1" applyBorder="1"/>
    <xf numFmtId="169" fontId="7" fillId="0" borderId="22" xfId="42" applyNumberFormat="1" applyFont="1" applyFill="1" applyBorder="1" applyAlignment="1">
      <alignment horizontal="center" vertical="top" wrapText="1"/>
    </xf>
    <xf numFmtId="169" fontId="7" fillId="0" borderId="31" xfId="42" applyNumberFormat="1" applyFont="1" applyFill="1" applyBorder="1" applyAlignment="1">
      <alignment horizontal="center" vertical="top" wrapText="1"/>
    </xf>
    <xf numFmtId="173" fontId="6" fillId="0" borderId="30" xfId="0" applyNumberFormat="1" applyFont="1" applyBorder="1"/>
    <xf numFmtId="173" fontId="6" fillId="0" borderId="29" xfId="0" applyNumberFormat="1" applyFont="1" applyBorder="1"/>
    <xf numFmtId="169" fontId="6" fillId="0" borderId="29" xfId="42" applyNumberFormat="1" applyFont="1" applyFill="1" applyBorder="1" applyAlignment="1">
      <alignment horizontal="center" vertical="top" wrapText="1"/>
    </xf>
    <xf numFmtId="173" fontId="6" fillId="0" borderId="56" xfId="0" applyNumberFormat="1" applyFont="1" applyBorder="1"/>
    <xf numFmtId="0" fontId="6" fillId="0" borderId="67" xfId="0" applyFont="1" applyBorder="1" applyAlignment="1">
      <alignment horizontal="center"/>
    </xf>
    <xf numFmtId="9" fontId="7" fillId="0" borderId="26" xfId="42" applyFont="1" applyBorder="1" applyAlignment="1">
      <alignment horizontal="center"/>
    </xf>
    <xf numFmtId="9" fontId="7" fillId="0" borderId="46" xfId="42" applyFont="1" applyBorder="1" applyAlignment="1">
      <alignment horizontal="center"/>
    </xf>
    <xf numFmtId="169" fontId="7" fillId="0" borderId="46" xfId="42" applyNumberFormat="1" applyFont="1" applyFill="1" applyBorder="1" applyAlignment="1">
      <alignment horizontal="center" vertical="top" wrapText="1"/>
    </xf>
    <xf numFmtId="0" fontId="7" fillId="0" borderId="68" xfId="0" applyFont="1" applyBorder="1"/>
    <xf numFmtId="0" fontId="7" fillId="0" borderId="11" xfId="0" applyFont="1" applyFill="1" applyBorder="1" applyAlignment="1">
      <alignment horizontal="left"/>
    </xf>
    <xf numFmtId="0" fontId="7" fillId="0" borderId="11" xfId="0" applyFont="1" applyFill="1" applyBorder="1" applyAlignment="1">
      <alignment vertical="center" wrapText="1"/>
    </xf>
    <xf numFmtId="0" fontId="7" fillId="0" borderId="37" xfId="0" applyFont="1" applyBorder="1" applyAlignment="1">
      <alignment horizontal="center"/>
    </xf>
    <xf numFmtId="173" fontId="6" fillId="0" borderId="69" xfId="0" applyNumberFormat="1" applyFont="1" applyBorder="1"/>
    <xf numFmtId="0" fontId="7" fillId="0" borderId="35" xfId="0" applyFont="1" applyFill="1" applyBorder="1"/>
    <xf numFmtId="170" fontId="7" fillId="0" borderId="55" xfId="0" applyNumberFormat="1" applyFont="1" applyBorder="1"/>
    <xf numFmtId="173" fontId="7" fillId="0" borderId="70" xfId="0" applyNumberFormat="1" applyFont="1" applyBorder="1"/>
    <xf numFmtId="0" fontId="6" fillId="0" borderId="16" xfId="0" applyFont="1" applyFill="1" applyBorder="1" applyAlignment="1">
      <alignment horizontal="left" indent="1"/>
    </xf>
    <xf numFmtId="0" fontId="10" fillId="0" borderId="11" xfId="0" quotePrefix="1" applyFont="1" applyBorder="1" applyAlignment="1">
      <alignment horizontal="left"/>
    </xf>
    <xf numFmtId="0" fontId="6" fillId="0" borderId="38" xfId="0" applyFont="1" applyFill="1" applyBorder="1" applyAlignment="1">
      <alignment horizontal="center"/>
    </xf>
    <xf numFmtId="169" fontId="6" fillId="0" borderId="36" xfId="42" applyNumberFormat="1" applyFont="1" applyFill="1" applyBorder="1" applyAlignment="1">
      <alignment horizontal="center" vertical="top" wrapText="1"/>
    </xf>
    <xf numFmtId="170" fontId="6" fillId="0" borderId="0" xfId="28" applyNumberFormat="1" applyFont="1" applyFill="1" applyBorder="1"/>
    <xf numFmtId="0" fontId="7" fillId="0" borderId="67" xfId="0" applyFont="1" applyFill="1" applyBorder="1" applyAlignment="1">
      <alignment horizontal="center" vertical="center" wrapText="1"/>
    </xf>
    <xf numFmtId="173" fontId="7" fillId="25" borderId="22" xfId="0" applyNumberFormat="1" applyFont="1" applyFill="1" applyBorder="1"/>
    <xf numFmtId="173" fontId="6" fillId="25" borderId="36" xfId="0" applyNumberFormat="1" applyFont="1" applyFill="1" applyBorder="1"/>
    <xf numFmtId="173" fontId="7" fillId="25" borderId="22" xfId="0" applyNumberFormat="1" applyFont="1" applyFill="1" applyBorder="1" applyAlignment="1">
      <alignment vertical="top"/>
    </xf>
    <xf numFmtId="9" fontId="6" fillId="0" borderId="22" xfId="42" applyFont="1" applyBorder="1" applyAlignment="1">
      <alignment horizontal="center"/>
    </xf>
    <xf numFmtId="9" fontId="7" fillId="0" borderId="31" xfId="42" applyFont="1" applyBorder="1" applyAlignment="1">
      <alignment horizontal="center"/>
    </xf>
    <xf numFmtId="9" fontId="7" fillId="0" borderId="29" xfId="42" applyFont="1" applyBorder="1" applyAlignment="1">
      <alignment horizontal="center"/>
    </xf>
    <xf numFmtId="9" fontId="7" fillId="0" borderId="24" xfId="42" applyFont="1" applyBorder="1" applyAlignment="1">
      <alignment horizontal="center"/>
    </xf>
    <xf numFmtId="173" fontId="7" fillId="25" borderId="24" xfId="0" applyNumberFormat="1" applyFont="1" applyFill="1" applyBorder="1"/>
    <xf numFmtId="9" fontId="6" fillId="0" borderId="36" xfId="42" applyFont="1" applyBorder="1" applyAlignment="1">
      <alignment horizontal="center"/>
    </xf>
    <xf numFmtId="0" fontId="6" fillId="0" borderId="12" xfId="0" applyFont="1" applyBorder="1"/>
    <xf numFmtId="0" fontId="6" fillId="0" borderId="14" xfId="0" applyFont="1" applyBorder="1"/>
    <xf numFmtId="0" fontId="12" fillId="0" borderId="15" xfId="0" applyFont="1" applyBorder="1"/>
    <xf numFmtId="0" fontId="6" fillId="0" borderId="65" xfId="0" applyFont="1" applyBorder="1"/>
    <xf numFmtId="170" fontId="6" fillId="0" borderId="13" xfId="28" applyNumberFormat="1" applyFont="1" applyFill="1" applyBorder="1"/>
    <xf numFmtId="2" fontId="6" fillId="0" borderId="0" xfId="0" applyNumberFormat="1" applyFont="1"/>
    <xf numFmtId="0" fontId="7" fillId="0" borderId="11" xfId="0" quotePrefix="1" applyFont="1" applyBorder="1" applyAlignment="1">
      <alignment horizontal="left" indent="1"/>
    </xf>
    <xf numFmtId="169" fontId="7" fillId="0" borderId="22" xfId="42" applyNumberFormat="1" applyFont="1" applyFill="1" applyBorder="1" applyAlignment="1">
      <alignment horizontal="center" wrapText="1"/>
    </xf>
    <xf numFmtId="9" fontId="7" fillId="0" borderId="22" xfId="42" applyFont="1" applyFill="1" applyBorder="1" applyAlignment="1">
      <alignment horizontal="center" vertical="top" wrapText="1"/>
    </xf>
    <xf numFmtId="0" fontId="9" fillId="0" borderId="10" xfId="0" applyFont="1" applyFill="1" applyBorder="1"/>
    <xf numFmtId="0" fontId="5" fillId="0" borderId="14" xfId="0" applyFont="1" applyFill="1" applyBorder="1" applyAlignment="1"/>
    <xf numFmtId="0" fontId="7" fillId="0" borderId="10" xfId="0" applyNumberFormat="1" applyFont="1" applyBorder="1" applyAlignment="1">
      <alignment wrapText="1"/>
    </xf>
    <xf numFmtId="0" fontId="6" fillId="0" borderId="10" xfId="0" applyNumberFormat="1" applyFont="1" applyBorder="1" applyAlignment="1">
      <alignment horizontal="left" wrapText="1" indent="1"/>
    </xf>
    <xf numFmtId="0" fontId="7" fillId="0" borderId="19" xfId="0" applyNumberFormat="1" applyFont="1" applyBorder="1"/>
    <xf numFmtId="0" fontId="7" fillId="0" borderId="59" xfId="0" applyFont="1" applyBorder="1"/>
    <xf numFmtId="9" fontId="7" fillId="0" borderId="54" xfId="42" applyFont="1" applyBorder="1" applyAlignment="1">
      <alignment horizontal="center"/>
    </xf>
    <xf numFmtId="9" fontId="7" fillId="0" borderId="66" xfId="42" applyFont="1" applyBorder="1" applyAlignment="1">
      <alignment horizontal="center"/>
    </xf>
    <xf numFmtId="9" fontId="7" fillId="0" borderId="36" xfId="42" applyFont="1" applyBorder="1" applyAlignment="1">
      <alignment horizontal="center"/>
    </xf>
    <xf numFmtId="9" fontId="7" fillId="0" borderId="51" xfId="42" applyFont="1" applyBorder="1" applyAlignment="1">
      <alignment horizontal="center"/>
    </xf>
    <xf numFmtId="0" fontId="7" fillId="0" borderId="39" xfId="0" applyFont="1" applyFill="1" applyBorder="1" applyAlignment="1">
      <alignment horizontal="center" vertical="center"/>
    </xf>
    <xf numFmtId="173" fontId="6" fillId="0" borderId="14" xfId="0" applyNumberFormat="1" applyFont="1" applyBorder="1"/>
    <xf numFmtId="173" fontId="6" fillId="0" borderId="17" xfId="0" applyNumberFormat="1" applyFont="1" applyBorder="1"/>
    <xf numFmtId="0" fontId="7" fillId="0" borderId="71" xfId="0" applyFont="1" applyBorder="1"/>
    <xf numFmtId="0" fontId="7" fillId="0" borderId="18" xfId="0" applyFont="1" applyBorder="1"/>
    <xf numFmtId="0" fontId="6" fillId="0" borderId="15" xfId="0" applyFont="1" applyBorder="1"/>
    <xf numFmtId="173" fontId="6" fillId="0" borderId="12" xfId="0" applyNumberFormat="1" applyFont="1" applyBorder="1"/>
    <xf numFmtId="173" fontId="6" fillId="0" borderId="65" xfId="0" applyNumberFormat="1" applyFont="1" applyBorder="1"/>
    <xf numFmtId="0" fontId="6" fillId="0" borderId="71" xfId="0" applyFont="1" applyBorder="1"/>
    <xf numFmtId="0" fontId="6" fillId="0" borderId="18" xfId="0" applyFont="1" applyBorder="1"/>
    <xf numFmtId="0" fontId="5" fillId="0" borderId="15" xfId="0" applyFont="1" applyBorder="1"/>
    <xf numFmtId="0" fontId="5" fillId="0" borderId="68" xfId="0" applyFont="1" applyBorder="1"/>
    <xf numFmtId="0" fontId="7" fillId="0" borderId="72" xfId="0" applyFont="1" applyBorder="1" applyAlignment="1">
      <alignment horizontal="center"/>
    </xf>
    <xf numFmtId="173" fontId="7" fillId="0" borderId="18" xfId="0" applyNumberFormat="1" applyFont="1" applyBorder="1"/>
    <xf numFmtId="0" fontId="3" fillId="24" borderId="71" xfId="0" applyFont="1" applyFill="1" applyBorder="1" applyAlignment="1">
      <alignment horizontal="center"/>
    </xf>
    <xf numFmtId="0" fontId="7" fillId="0" borderId="0" xfId="0" applyFont="1"/>
    <xf numFmtId="0" fontId="3" fillId="0" borderId="0" xfId="0" applyFont="1"/>
    <xf numFmtId="0" fontId="2" fillId="0" borderId="0" xfId="0" applyFont="1" applyProtection="1"/>
    <xf numFmtId="0" fontId="14" fillId="26" borderId="15" xfId="0" applyFont="1" applyFill="1" applyBorder="1"/>
    <xf numFmtId="0" fontId="14" fillId="26" borderId="12" xfId="0" applyFont="1" applyFill="1" applyBorder="1" applyAlignment="1">
      <alignment horizontal="left"/>
    </xf>
    <xf numFmtId="0" fontId="14" fillId="26" borderId="39" xfId="0" applyFont="1" applyFill="1" applyBorder="1" applyAlignment="1">
      <alignment horizontal="left"/>
    </xf>
    <xf numFmtId="0" fontId="14" fillId="26" borderId="15" xfId="0" applyFont="1" applyFill="1" applyBorder="1" applyAlignment="1">
      <alignment horizontal="left"/>
    </xf>
    <xf numFmtId="0" fontId="3" fillId="27" borderId="0" xfId="0" applyFont="1" applyFill="1"/>
    <xf numFmtId="0" fontId="2" fillId="0" borderId="10" xfId="0" applyFont="1" applyBorder="1"/>
    <xf numFmtId="0" fontId="15" fillId="0" borderId="0" xfId="0" applyFont="1"/>
    <xf numFmtId="17" fontId="2" fillId="0" borderId="10" xfId="0" quotePrefix="1" applyNumberFormat="1" applyFont="1" applyBorder="1"/>
    <xf numFmtId="0" fontId="2" fillId="0" borderId="10" xfId="0" quotePrefix="1" applyFont="1" applyBorder="1"/>
    <xf numFmtId="174" fontId="7" fillId="0" borderId="36" xfId="42" applyNumberFormat="1" applyFont="1" applyBorder="1"/>
    <xf numFmtId="173" fontId="6" fillId="28" borderId="26" xfId="0" applyNumberFormat="1" applyFont="1" applyFill="1" applyBorder="1" applyProtection="1">
      <protection locked="0"/>
    </xf>
    <xf numFmtId="173" fontId="6" fillId="28" borderId="22" xfId="0" applyNumberFormat="1" applyFont="1" applyFill="1" applyBorder="1" applyProtection="1">
      <protection locked="0"/>
    </xf>
    <xf numFmtId="173" fontId="6" fillId="0" borderId="46" xfId="0" applyNumberFormat="1" applyFont="1" applyFill="1" applyBorder="1"/>
    <xf numFmtId="0" fontId="9" fillId="0" borderId="10" xfId="0" applyFont="1" applyBorder="1" applyProtection="1"/>
    <xf numFmtId="0" fontId="6" fillId="0" borderId="10" xfId="0" applyFont="1" applyBorder="1" applyProtection="1"/>
    <xf numFmtId="0" fontId="6" fillId="0" borderId="10" xfId="0" applyFont="1" applyBorder="1" applyAlignment="1" applyProtection="1">
      <alignment horizontal="center"/>
    </xf>
    <xf numFmtId="9" fontId="6" fillId="0" borderId="39" xfId="0" applyNumberFormat="1" applyFont="1" applyBorder="1" applyAlignment="1" applyProtection="1">
      <alignment horizontal="center" vertical="top"/>
      <protection locked="0"/>
    </xf>
    <xf numFmtId="169" fontId="6" fillId="0" borderId="10" xfId="42" applyNumberFormat="1" applyFont="1" applyFill="1" applyBorder="1" applyAlignment="1" applyProtection="1">
      <alignment horizontal="center" vertical="top" wrapText="1"/>
    </xf>
    <xf numFmtId="169" fontId="6" fillId="0" borderId="45" xfId="42" applyNumberFormat="1" applyFont="1" applyFill="1" applyBorder="1" applyAlignment="1" applyProtection="1">
      <alignment horizontal="center" vertical="top" wrapText="1"/>
    </xf>
    <xf numFmtId="169" fontId="6" fillId="0" borderId="22" xfId="42" applyNumberFormat="1" applyFont="1" applyFill="1" applyBorder="1" applyAlignment="1" applyProtection="1">
      <alignment horizontal="center" vertical="top" wrapText="1"/>
    </xf>
    <xf numFmtId="169" fontId="6" fillId="0" borderId="46" xfId="42" applyNumberFormat="1" applyFont="1" applyFill="1" applyBorder="1" applyAlignment="1" applyProtection="1">
      <alignment horizontal="center" vertical="top" wrapText="1"/>
    </xf>
    <xf numFmtId="173" fontId="6" fillId="28" borderId="37" xfId="0" applyNumberFormat="1" applyFont="1" applyFill="1" applyBorder="1" applyProtection="1">
      <protection locked="0"/>
    </xf>
    <xf numFmtId="173" fontId="6" fillId="28" borderId="13" xfId="0" applyNumberFormat="1" applyFont="1" applyFill="1" applyBorder="1" applyProtection="1">
      <protection locked="0"/>
    </xf>
    <xf numFmtId="0" fontId="6" fillId="0" borderId="11" xfId="0" quotePrefix="1" applyFont="1" applyFill="1" applyBorder="1" applyAlignment="1">
      <alignment horizontal="left" indent="2"/>
    </xf>
    <xf numFmtId="0" fontId="7" fillId="0" borderId="11" xfId="0" quotePrefix="1" applyFont="1" applyFill="1" applyBorder="1" applyAlignment="1">
      <alignment horizontal="left" indent="1"/>
    </xf>
    <xf numFmtId="0" fontId="10" fillId="0" borderId="11" xfId="0" quotePrefix="1" applyFont="1" applyFill="1" applyBorder="1" applyAlignment="1">
      <alignment horizontal="left" indent="2"/>
    </xf>
    <xf numFmtId="9" fontId="7" fillId="25" borderId="10" xfId="42" applyFont="1" applyFill="1" applyBorder="1" applyAlignment="1">
      <alignment horizontal="center"/>
    </xf>
    <xf numFmtId="170" fontId="6" fillId="25" borderId="10" xfId="0" applyNumberFormat="1" applyFont="1" applyFill="1" applyBorder="1"/>
    <xf numFmtId="169" fontId="7" fillId="25" borderId="22" xfId="42" applyNumberFormat="1" applyFont="1" applyFill="1" applyBorder="1" applyAlignment="1">
      <alignment horizontal="center" vertical="top" wrapText="1"/>
    </xf>
    <xf numFmtId="170" fontId="6" fillId="25" borderId="22" xfId="0" applyNumberFormat="1" applyFont="1" applyFill="1" applyBorder="1"/>
    <xf numFmtId="9" fontId="7" fillId="25" borderId="22" xfId="42" applyFont="1" applyFill="1" applyBorder="1" applyAlignment="1">
      <alignment horizontal="center" vertical="top" wrapText="1"/>
    </xf>
    <xf numFmtId="9" fontId="6" fillId="25" borderId="22" xfId="42" applyFont="1" applyFill="1" applyBorder="1" applyAlignment="1">
      <alignment horizontal="center"/>
    </xf>
    <xf numFmtId="173" fontId="6" fillId="0" borderId="0" xfId="0" applyNumberFormat="1" applyFont="1" applyFill="1" applyBorder="1" applyProtection="1"/>
    <xf numFmtId="0" fontId="5" fillId="0" borderId="0" xfId="0" applyFont="1" applyFill="1" applyBorder="1" applyAlignment="1"/>
    <xf numFmtId="0" fontId="6" fillId="0" borderId="11" xfId="0" applyFont="1" applyFill="1" applyBorder="1" applyAlignment="1" applyProtection="1">
      <alignment horizontal="left" indent="1"/>
    </xf>
    <xf numFmtId="173" fontId="6" fillId="0" borderId="22" xfId="0" applyNumberFormat="1" applyFont="1" applyFill="1" applyBorder="1" applyProtection="1"/>
    <xf numFmtId="173" fontId="6" fillId="0" borderId="36" xfId="0" applyNumberFormat="1" applyFont="1" applyFill="1" applyBorder="1" applyProtection="1"/>
    <xf numFmtId="169" fontId="7" fillId="25" borderId="24" xfId="42" applyNumberFormat="1" applyFont="1" applyFill="1" applyBorder="1" applyAlignment="1">
      <alignment horizontal="center" vertical="top" wrapText="1"/>
    </xf>
    <xf numFmtId="0" fontId="6" fillId="0" borderId="0" xfId="0" quotePrefix="1" applyFont="1" applyBorder="1"/>
    <xf numFmtId="0" fontId="2" fillId="0" borderId="0" xfId="0" applyFont="1" applyBorder="1" applyAlignment="1">
      <alignment horizontal="left"/>
    </xf>
    <xf numFmtId="0" fontId="7" fillId="0" borderId="24" xfId="0" applyFont="1" applyFill="1" applyBorder="1" applyAlignment="1">
      <alignment horizontal="center" vertical="top" wrapText="1"/>
    </xf>
    <xf numFmtId="0" fontId="8" fillId="0" borderId="11" xfId="0" applyNumberFormat="1" applyFont="1" applyFill="1" applyBorder="1" applyAlignment="1" applyProtection="1">
      <alignment horizontal="left" indent="1"/>
    </xf>
    <xf numFmtId="0" fontId="6" fillId="0" borderId="22" xfId="0" applyNumberFormat="1" applyFont="1" applyBorder="1" applyAlignment="1" applyProtection="1">
      <alignment horizontal="center"/>
    </xf>
    <xf numFmtId="0" fontId="6" fillId="0" borderId="11" xfId="0" applyNumberFormat="1" applyFont="1" applyFill="1" applyBorder="1" applyAlignment="1" applyProtection="1">
      <alignment horizontal="left" indent="2"/>
    </xf>
    <xf numFmtId="0" fontId="6" fillId="0" borderId="22" xfId="0" applyNumberFormat="1" applyFont="1" applyFill="1" applyBorder="1" applyAlignment="1" applyProtection="1">
      <alignment horizontal="center"/>
    </xf>
    <xf numFmtId="0" fontId="6" fillId="0" borderId="50" xfId="0" applyFont="1" applyBorder="1" applyAlignment="1">
      <alignment horizontal="center"/>
    </xf>
    <xf numFmtId="0" fontId="6" fillId="0" borderId="46" xfId="0" applyFont="1" applyBorder="1" applyAlignment="1">
      <alignment horizontal="center"/>
    </xf>
    <xf numFmtId="0" fontId="12" fillId="0" borderId="46" xfId="0" applyFont="1" applyBorder="1" applyAlignment="1">
      <alignment horizontal="center"/>
    </xf>
    <xf numFmtId="0" fontId="6" fillId="0" borderId="46" xfId="0" applyFont="1" applyFill="1" applyBorder="1" applyAlignment="1">
      <alignment horizontal="center"/>
    </xf>
    <xf numFmtId="0" fontId="7" fillId="0" borderId="47" xfId="0" applyFont="1" applyBorder="1" applyAlignment="1">
      <alignment horizontal="center"/>
    </xf>
    <xf numFmtId="0" fontId="6" fillId="0" borderId="17" xfId="0" applyFont="1" applyFill="1" applyBorder="1" applyAlignment="1">
      <alignment horizontal="center" vertical="center"/>
    </xf>
    <xf numFmtId="0" fontId="7" fillId="0" borderId="13" xfId="0" applyFont="1" applyBorder="1" applyAlignment="1">
      <alignment horizontal="center"/>
    </xf>
    <xf numFmtId="0" fontId="6" fillId="0" borderId="24" xfId="0" applyFont="1" applyBorder="1" applyAlignment="1">
      <alignment horizontal="center"/>
    </xf>
    <xf numFmtId="0" fontId="6" fillId="0" borderId="22" xfId="0" applyFont="1" applyBorder="1" applyAlignment="1">
      <alignment horizontal="center"/>
    </xf>
    <xf numFmtId="0" fontId="12" fillId="0" borderId="22" xfId="0" applyFont="1" applyBorder="1" applyAlignment="1">
      <alignment horizontal="center"/>
    </xf>
    <xf numFmtId="0" fontId="6" fillId="0" borderId="22" xfId="0" applyFont="1" applyFill="1" applyBorder="1" applyAlignment="1">
      <alignment horizontal="center"/>
    </xf>
    <xf numFmtId="0" fontId="7" fillId="0" borderId="24" xfId="0" applyFont="1" applyBorder="1" applyAlignment="1">
      <alignment horizontal="center"/>
    </xf>
    <xf numFmtId="173" fontId="7" fillId="0" borderId="43" xfId="0" applyNumberFormat="1" applyFont="1" applyBorder="1"/>
    <xf numFmtId="9" fontId="7" fillId="0" borderId="43" xfId="42" applyFont="1" applyBorder="1" applyAlignment="1">
      <alignment horizontal="center"/>
    </xf>
    <xf numFmtId="0" fontId="7" fillId="0" borderId="45" xfId="0" applyFont="1" applyBorder="1" applyAlignment="1">
      <alignment horizontal="center"/>
    </xf>
    <xf numFmtId="0" fontId="5" fillId="0" borderId="14" xfId="0" applyFont="1" applyFill="1" applyBorder="1" applyAlignment="1" applyProtection="1">
      <alignment horizontal="left"/>
    </xf>
    <xf numFmtId="0" fontId="16" fillId="0" borderId="0" xfId="0" applyFont="1"/>
    <xf numFmtId="0" fontId="7" fillId="0" borderId="25" xfId="0" applyFont="1" applyFill="1" applyBorder="1" applyAlignment="1" applyProtection="1">
      <alignment horizontal="center" vertical="center"/>
    </xf>
    <xf numFmtId="0" fontId="7" fillId="0" borderId="23" xfId="0" applyFont="1" applyFill="1" applyBorder="1" applyAlignment="1" applyProtection="1">
      <alignment vertical="center"/>
    </xf>
    <xf numFmtId="0" fontId="7" fillId="0" borderId="16" xfId="0" applyFont="1" applyFill="1" applyBorder="1" applyAlignment="1" applyProtection="1">
      <alignment horizontal="left" vertical="center"/>
    </xf>
    <xf numFmtId="0" fontId="7" fillId="0" borderId="24" xfId="0" applyFont="1" applyFill="1" applyBorder="1" applyAlignment="1" applyProtection="1">
      <alignment vertical="center"/>
    </xf>
    <xf numFmtId="0" fontId="9" fillId="0" borderId="11" xfId="0" applyFont="1" applyBorder="1" applyProtection="1"/>
    <xf numFmtId="0" fontId="7" fillId="0" borderId="22" xfId="0" applyNumberFormat="1" applyFont="1" applyBorder="1" applyAlignment="1" applyProtection="1">
      <alignment horizontal="center"/>
      <protection locked="0"/>
    </xf>
    <xf numFmtId="173" fontId="7" fillId="0" borderId="22" xfId="0" applyNumberFormat="1" applyFont="1" applyBorder="1" applyAlignment="1">
      <alignment horizontal="right"/>
    </xf>
    <xf numFmtId="173" fontId="7" fillId="0" borderId="13" xfId="0" applyNumberFormat="1" applyFont="1" applyBorder="1" applyAlignment="1">
      <alignment horizontal="right"/>
    </xf>
    <xf numFmtId="173" fontId="7" fillId="0" borderId="0" xfId="0" applyNumberFormat="1" applyFont="1" applyBorder="1" applyAlignment="1">
      <alignment horizontal="right"/>
    </xf>
    <xf numFmtId="173" fontId="7" fillId="0" borderId="26" xfId="0" applyNumberFormat="1" applyFont="1" applyBorder="1" applyAlignment="1">
      <alignment horizontal="right"/>
    </xf>
    <xf numFmtId="0" fontId="6" fillId="0" borderId="22" xfId="0" applyNumberFormat="1" applyFont="1" applyBorder="1" applyAlignment="1" applyProtection="1">
      <alignment horizontal="center"/>
      <protection locked="0"/>
    </xf>
    <xf numFmtId="170" fontId="6" fillId="0" borderId="13" xfId="0" applyNumberFormat="1" applyFont="1" applyBorder="1"/>
    <xf numFmtId="0" fontId="7" fillId="0" borderId="11" xfId="0" applyFont="1" applyBorder="1" applyAlignment="1" applyProtection="1">
      <alignment horizontal="left"/>
    </xf>
    <xf numFmtId="173" fontId="7" fillId="0" borderId="43" xfId="0" applyNumberFormat="1" applyFont="1" applyBorder="1" applyAlignment="1" applyProtection="1">
      <alignment horizontal="right"/>
    </xf>
    <xf numFmtId="173" fontId="7" fillId="0" borderId="73" xfId="0" applyNumberFormat="1" applyFont="1" applyBorder="1" applyAlignment="1" applyProtection="1">
      <alignment horizontal="right"/>
    </xf>
    <xf numFmtId="173" fontId="7" fillId="0" borderId="74" xfId="0" applyNumberFormat="1" applyFont="1" applyBorder="1" applyAlignment="1" applyProtection="1">
      <alignment horizontal="right"/>
    </xf>
    <xf numFmtId="173" fontId="7" fillId="0" borderId="52" xfId="0" applyNumberFormat="1" applyFont="1" applyBorder="1" applyAlignment="1" applyProtection="1">
      <alignment horizontal="right"/>
    </xf>
    <xf numFmtId="170" fontId="7" fillId="0" borderId="18" xfId="0" applyNumberFormat="1" applyFont="1" applyBorder="1"/>
    <xf numFmtId="170" fontId="7" fillId="0" borderId="72" xfId="0" applyNumberFormat="1" applyFont="1" applyBorder="1"/>
    <xf numFmtId="0" fontId="6" fillId="0" borderId="16" xfId="0" applyFont="1" applyBorder="1" applyProtection="1"/>
    <xf numFmtId="0" fontId="6" fillId="0" borderId="24" xfId="0" applyNumberFormat="1" applyFont="1" applyBorder="1" applyAlignment="1" applyProtection="1">
      <alignment horizontal="center"/>
    </xf>
    <xf numFmtId="173" fontId="6" fillId="0" borderId="24" xfId="0" applyNumberFormat="1" applyFont="1" applyBorder="1" applyProtection="1"/>
    <xf numFmtId="173" fontId="6" fillId="0" borderId="17" xfId="0" applyNumberFormat="1" applyFont="1" applyBorder="1" applyProtection="1"/>
    <xf numFmtId="173" fontId="6" fillId="0" borderId="14" xfId="0" applyNumberFormat="1" applyFont="1" applyBorder="1" applyProtection="1"/>
    <xf numFmtId="173" fontId="6" fillId="0" borderId="33" xfId="0" applyNumberFormat="1" applyFont="1" applyBorder="1" applyProtection="1"/>
    <xf numFmtId="0" fontId="9" fillId="0" borderId="15" xfId="0" applyFont="1" applyBorder="1" applyProtection="1"/>
    <xf numFmtId="0" fontId="6" fillId="0" borderId="23" xfId="0" applyNumberFormat="1" applyFont="1" applyBorder="1" applyAlignment="1" applyProtection="1">
      <alignment horizontal="center"/>
    </xf>
    <xf numFmtId="173" fontId="6" fillId="0" borderId="23" xfId="0" applyNumberFormat="1" applyFont="1" applyBorder="1" applyProtection="1"/>
    <xf numFmtId="173" fontId="6" fillId="0" borderId="65" xfId="0" applyNumberFormat="1" applyFont="1" applyBorder="1" applyProtection="1"/>
    <xf numFmtId="173" fontId="6" fillId="0" borderId="12" xfId="0" applyNumberFormat="1" applyFont="1" applyBorder="1" applyProtection="1"/>
    <xf numFmtId="173" fontId="6" fillId="0" borderId="25" xfId="0" applyNumberFormat="1" applyFont="1" applyBorder="1" applyProtection="1"/>
    <xf numFmtId="0" fontId="7" fillId="0" borderId="11" xfId="0" applyFont="1" applyFill="1" applyBorder="1" applyAlignment="1" applyProtection="1">
      <alignment horizontal="left" indent="1"/>
    </xf>
    <xf numFmtId="0" fontId="7" fillId="0" borderId="22" xfId="0" applyNumberFormat="1" applyFont="1" applyBorder="1" applyAlignment="1" applyProtection="1">
      <alignment horizontal="center"/>
    </xf>
    <xf numFmtId="173" fontId="7" fillId="0" borderId="22" xfId="0" applyNumberFormat="1" applyFont="1" applyBorder="1" applyAlignment="1" applyProtection="1">
      <alignment horizontal="right"/>
    </xf>
    <xf numFmtId="173" fontId="7" fillId="0" borderId="13" xfId="0" applyNumberFormat="1" applyFont="1" applyBorder="1" applyAlignment="1" applyProtection="1">
      <alignment horizontal="right"/>
    </xf>
    <xf numFmtId="173" fontId="7" fillId="0" borderId="0" xfId="0" applyNumberFormat="1" applyFont="1" applyBorder="1" applyAlignment="1" applyProtection="1">
      <alignment horizontal="right"/>
    </xf>
    <xf numFmtId="173" fontId="7" fillId="0" borderId="26" xfId="0" applyNumberFormat="1" applyFont="1" applyBorder="1" applyAlignment="1" applyProtection="1">
      <alignment horizontal="right"/>
    </xf>
    <xf numFmtId="173" fontId="6" fillId="28" borderId="0" xfId="0" applyNumberFormat="1" applyFont="1" applyFill="1" applyBorder="1" applyProtection="1">
      <protection locked="0"/>
    </xf>
    <xf numFmtId="170" fontId="6" fillId="0" borderId="10" xfId="0" applyNumberFormat="1" applyFont="1" applyFill="1" applyBorder="1"/>
    <xf numFmtId="173" fontId="7" fillId="0" borderId="74" xfId="0" applyNumberFormat="1" applyFont="1" applyBorder="1"/>
    <xf numFmtId="173" fontId="7" fillId="0" borderId="52" xfId="0" applyNumberFormat="1" applyFont="1" applyBorder="1"/>
    <xf numFmtId="170" fontId="7" fillId="0" borderId="13" xfId="0" applyNumberFormat="1" applyFont="1" applyBorder="1"/>
    <xf numFmtId="0" fontId="6" fillId="0" borderId="29" xfId="0" applyNumberFormat="1" applyFont="1" applyBorder="1" applyAlignment="1" applyProtection="1">
      <alignment horizontal="center"/>
      <protection locked="0"/>
    </xf>
    <xf numFmtId="173" fontId="7" fillId="0" borderId="29" xfId="0" applyNumberFormat="1" applyFont="1" applyFill="1" applyBorder="1"/>
    <xf numFmtId="173" fontId="7" fillId="0" borderId="75" xfId="0" applyNumberFormat="1" applyFont="1" applyBorder="1"/>
    <xf numFmtId="170" fontId="7" fillId="0" borderId="76" xfId="0" applyNumberFormat="1" applyFont="1" applyBorder="1"/>
    <xf numFmtId="170" fontId="7" fillId="0" borderId="77" xfId="0" applyNumberFormat="1" applyFont="1" applyBorder="1"/>
    <xf numFmtId="0" fontId="11" fillId="0" borderId="0" xfId="0" applyFont="1" applyBorder="1" applyProtection="1"/>
    <xf numFmtId="0" fontId="6" fillId="0" borderId="0" xfId="0" applyFont="1" applyBorder="1" applyAlignment="1" applyProtection="1">
      <alignment horizontal="center"/>
      <protection locked="0"/>
    </xf>
    <xf numFmtId="0" fontId="10" fillId="0" borderId="0" xfId="0" applyFont="1" applyFill="1" applyBorder="1" applyProtection="1">
      <protection locked="0"/>
    </xf>
    <xf numFmtId="170" fontId="7" fillId="0" borderId="0" xfId="0" applyNumberFormat="1" applyFont="1" applyFill="1" applyBorder="1" applyProtection="1">
      <protection locked="0"/>
    </xf>
    <xf numFmtId="0" fontId="6" fillId="0" borderId="0" xfId="0" applyFont="1" applyProtection="1">
      <protection locked="0"/>
    </xf>
    <xf numFmtId="0" fontId="10" fillId="0" borderId="0" xfId="0" quotePrefix="1" applyFont="1" applyBorder="1" applyProtection="1"/>
    <xf numFmtId="0" fontId="7" fillId="0" borderId="0" xfId="0" applyFont="1" applyBorder="1" applyProtection="1">
      <protection locked="0"/>
    </xf>
    <xf numFmtId="170" fontId="7" fillId="0" borderId="0" xfId="0" applyNumberFormat="1" applyFont="1" applyBorder="1" applyProtection="1">
      <protection locked="0"/>
    </xf>
    <xf numFmtId="0" fontId="10" fillId="0" borderId="0" xfId="0" applyFont="1" applyBorder="1" applyAlignment="1" applyProtection="1">
      <alignment horizontal="left"/>
    </xf>
    <xf numFmtId="0" fontId="10" fillId="0" borderId="0" xfId="0" applyFont="1" applyBorder="1" applyAlignment="1" applyProtection="1">
      <alignment horizontal="center"/>
      <protection locked="0"/>
    </xf>
    <xf numFmtId="0" fontId="10" fillId="0" borderId="0" xfId="0" applyFont="1" applyBorder="1" applyAlignment="1" applyProtection="1">
      <alignment horizontal="right"/>
      <protection locked="0"/>
    </xf>
    <xf numFmtId="166" fontId="6" fillId="0" borderId="0" xfId="28" applyNumberFormat="1" applyFont="1" applyProtection="1">
      <protection locked="0"/>
    </xf>
    <xf numFmtId="0" fontId="6" fillId="0" borderId="0" xfId="0" applyFont="1" applyAlignment="1" applyProtection="1">
      <alignment horizontal="center"/>
      <protection locked="0"/>
    </xf>
    <xf numFmtId="0" fontId="10" fillId="0" borderId="0" xfId="0" applyFont="1" applyBorder="1" applyAlignment="1" applyProtection="1">
      <alignment horizontal="right"/>
    </xf>
    <xf numFmtId="0" fontId="7" fillId="0" borderId="11" xfId="0" applyFont="1" applyFill="1" applyBorder="1" applyAlignment="1" applyProtection="1">
      <alignment horizontal="left" vertical="center"/>
    </xf>
    <xf numFmtId="0" fontId="7" fillId="0" borderId="22" xfId="0" applyFont="1" applyFill="1" applyBorder="1" applyAlignment="1" applyProtection="1">
      <alignment vertical="center"/>
    </xf>
    <xf numFmtId="0" fontId="6" fillId="0" borderId="3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9" fontId="7" fillId="0" borderId="22" xfId="42" applyFont="1" applyFill="1" applyBorder="1" applyAlignment="1">
      <alignment horizontal="center" vertical="center"/>
    </xf>
    <xf numFmtId="0" fontId="6" fillId="0" borderId="13" xfId="0" applyFont="1" applyFill="1" applyBorder="1" applyAlignment="1">
      <alignment horizontal="center" vertical="center"/>
    </xf>
    <xf numFmtId="173" fontId="7" fillId="0" borderId="37" xfId="0" applyNumberFormat="1" applyFont="1" applyBorder="1" applyAlignment="1">
      <alignment horizontal="right"/>
    </xf>
    <xf numFmtId="173" fontId="7" fillId="0" borderId="78" xfId="0" applyNumberFormat="1" applyFont="1" applyBorder="1" applyAlignment="1" applyProtection="1">
      <alignment horizontal="right"/>
    </xf>
    <xf numFmtId="173" fontId="6" fillId="0" borderId="69" xfId="0" applyNumberFormat="1" applyFont="1" applyBorder="1" applyProtection="1"/>
    <xf numFmtId="173" fontId="6" fillId="0" borderId="79" xfId="0" applyNumberFormat="1" applyFont="1" applyBorder="1" applyProtection="1"/>
    <xf numFmtId="173" fontId="7" fillId="0" borderId="37" xfId="0" applyNumberFormat="1" applyFont="1" applyBorder="1" applyAlignment="1" applyProtection="1">
      <alignment horizontal="right"/>
    </xf>
    <xf numFmtId="173" fontId="7" fillId="0" borderId="78" xfId="0" applyNumberFormat="1" applyFont="1" applyBorder="1"/>
    <xf numFmtId="173" fontId="7" fillId="0" borderId="34" xfId="0" applyNumberFormat="1" applyFont="1" applyFill="1" applyBorder="1"/>
    <xf numFmtId="0" fontId="6" fillId="0" borderId="25" xfId="0" applyFont="1" applyBorder="1"/>
    <xf numFmtId="0" fontId="6" fillId="0" borderId="23" xfId="0" applyFont="1" applyBorder="1"/>
    <xf numFmtId="173" fontId="7" fillId="0" borderId="30" xfId="0" applyNumberFormat="1" applyFont="1" applyFill="1" applyBorder="1"/>
    <xf numFmtId="173" fontId="7" fillId="0" borderId="49" xfId="0" applyNumberFormat="1" applyFont="1" applyBorder="1"/>
    <xf numFmtId="173" fontId="6" fillId="0" borderId="43" xfId="0" applyNumberFormat="1" applyFont="1" applyBorder="1"/>
    <xf numFmtId="9" fontId="6" fillId="0" borderId="43" xfId="42" applyFont="1" applyBorder="1" applyAlignment="1">
      <alignment horizontal="center"/>
    </xf>
    <xf numFmtId="173" fontId="7" fillId="0" borderId="67" xfId="0" applyNumberFormat="1" applyFont="1" applyBorder="1"/>
    <xf numFmtId="0" fontId="6" fillId="0" borderId="11" xfId="0" applyNumberFormat="1" applyFont="1" applyFill="1" applyBorder="1" applyAlignment="1">
      <alignment horizontal="left" indent="1"/>
    </xf>
    <xf numFmtId="0" fontId="6" fillId="0" borderId="11" xfId="0" applyNumberFormat="1" applyFont="1" applyBorder="1" applyAlignment="1">
      <alignment horizontal="left" indent="1"/>
    </xf>
    <xf numFmtId="0" fontId="6" fillId="0" borderId="53" xfId="0" applyFont="1" applyBorder="1" applyAlignment="1">
      <alignment horizontal="center"/>
    </xf>
    <xf numFmtId="0" fontId="6" fillId="0" borderId="51" xfId="0" applyFont="1" applyBorder="1" applyAlignment="1">
      <alignment horizontal="center"/>
    </xf>
    <xf numFmtId="0" fontId="6" fillId="0" borderId="46" xfId="0" applyFont="1" applyBorder="1" applyAlignment="1">
      <alignment horizontal="center" vertical="top"/>
    </xf>
    <xf numFmtId="173" fontId="7" fillId="0" borderId="55" xfId="0" applyNumberFormat="1" applyFont="1" applyBorder="1" applyAlignment="1">
      <alignment vertical="top"/>
    </xf>
    <xf numFmtId="173" fontId="7" fillId="0" borderId="32" xfId="0" applyNumberFormat="1" applyFont="1" applyBorder="1" applyAlignment="1">
      <alignment vertical="top"/>
    </xf>
    <xf numFmtId="173" fontId="7" fillId="0" borderId="31" xfId="0" applyNumberFormat="1" applyFont="1" applyBorder="1" applyAlignment="1">
      <alignment vertical="top"/>
    </xf>
    <xf numFmtId="9" fontId="7" fillId="0" borderId="31" xfId="42" applyFont="1" applyBorder="1" applyAlignment="1">
      <alignment horizontal="center" vertical="top"/>
    </xf>
    <xf numFmtId="173" fontId="7" fillId="0" borderId="47" xfId="0" applyNumberFormat="1" applyFont="1" applyBorder="1" applyAlignment="1">
      <alignment vertical="top"/>
    </xf>
    <xf numFmtId="0" fontId="7" fillId="0" borderId="11" xfId="0" applyNumberFormat="1" applyFont="1" applyBorder="1" applyAlignment="1">
      <alignment wrapText="1"/>
    </xf>
    <xf numFmtId="173" fontId="7" fillId="0" borderId="43" xfId="0" applyNumberFormat="1" applyFont="1" applyBorder="1" applyAlignment="1">
      <alignment vertical="top"/>
    </xf>
    <xf numFmtId="173" fontId="7" fillId="0" borderId="49" xfId="0" applyNumberFormat="1" applyFont="1" applyBorder="1" applyAlignment="1">
      <alignment vertical="top"/>
    </xf>
    <xf numFmtId="173" fontId="7" fillId="0" borderId="60" xfId="0" applyNumberFormat="1" applyFont="1" applyBorder="1" applyAlignment="1">
      <alignment vertical="top"/>
    </xf>
    <xf numFmtId="173" fontId="6" fillId="0" borderId="10" xfId="0" applyNumberFormat="1" applyFont="1" applyFill="1" applyBorder="1"/>
    <xf numFmtId="173" fontId="6" fillId="0" borderId="45" xfId="0" applyNumberFormat="1" applyFont="1" applyFill="1" applyBorder="1"/>
    <xf numFmtId="173" fontId="6" fillId="0" borderId="10" xfId="0" applyNumberFormat="1" applyFont="1" applyFill="1" applyBorder="1" applyProtection="1">
      <protection locked="0"/>
    </xf>
    <xf numFmtId="173" fontId="6" fillId="0" borderId="45" xfId="0" applyNumberFormat="1" applyFont="1" applyFill="1" applyBorder="1" applyProtection="1">
      <protection locked="0"/>
    </xf>
    <xf numFmtId="173" fontId="6" fillId="0" borderId="22" xfId="0" applyNumberFormat="1" applyFont="1" applyFill="1" applyBorder="1" applyProtection="1">
      <protection locked="0"/>
    </xf>
    <xf numFmtId="173" fontId="6" fillId="0" borderId="46" xfId="0" applyNumberFormat="1" applyFont="1" applyFill="1" applyBorder="1" applyProtection="1">
      <protection locked="0"/>
    </xf>
    <xf numFmtId="0" fontId="7" fillId="0" borderId="27" xfId="0" applyFont="1" applyBorder="1" applyAlignment="1">
      <alignment horizontal="left"/>
    </xf>
    <xf numFmtId="0" fontId="7" fillId="0" borderId="38" xfId="0" applyFont="1" applyBorder="1"/>
    <xf numFmtId="0" fontId="6" fillId="0" borderId="56" xfId="0" applyFont="1" applyBorder="1" applyAlignment="1">
      <alignment horizontal="center"/>
    </xf>
    <xf numFmtId="173" fontId="7" fillId="0" borderId="38" xfId="0" applyNumberFormat="1" applyFont="1" applyFill="1" applyBorder="1"/>
    <xf numFmtId="173" fontId="7" fillId="0" borderId="64" xfId="0" applyNumberFormat="1" applyFont="1" applyFill="1" applyBorder="1"/>
    <xf numFmtId="9" fontId="7" fillId="0" borderId="29" xfId="42" applyFont="1" applyFill="1" applyBorder="1" applyAlignment="1">
      <alignment horizontal="center"/>
    </xf>
    <xf numFmtId="173" fontId="7" fillId="0" borderId="56" xfId="0" applyNumberFormat="1" applyFont="1" applyFill="1" applyBorder="1"/>
    <xf numFmtId="173" fontId="7" fillId="0" borderId="60" xfId="0" applyNumberFormat="1" applyFont="1" applyBorder="1"/>
    <xf numFmtId="173" fontId="7" fillId="0" borderId="31" xfId="0" applyNumberFormat="1" applyFont="1" applyFill="1" applyBorder="1"/>
    <xf numFmtId="0" fontId="6" fillId="0" borderId="37" xfId="0" applyFont="1" applyFill="1" applyBorder="1" applyAlignment="1">
      <alignment horizontal="left" vertical="top" wrapText="1"/>
    </xf>
    <xf numFmtId="0" fontId="7" fillId="0" borderId="11" xfId="0" applyNumberFormat="1" applyFont="1" applyBorder="1"/>
    <xf numFmtId="0" fontId="6" fillId="0" borderId="11" xfId="0" applyNumberFormat="1" applyFont="1" applyBorder="1"/>
    <xf numFmtId="0" fontId="9" fillId="0" borderId="11" xfId="0" applyNumberFormat="1" applyFont="1" applyBorder="1"/>
    <xf numFmtId="0" fontId="7" fillId="0" borderId="38" xfId="0" applyNumberFormat="1" applyFont="1" applyBorder="1"/>
    <xf numFmtId="173" fontId="6" fillId="0" borderId="26" xfId="0" applyNumberFormat="1" applyFont="1" applyFill="1" applyBorder="1" applyProtection="1">
      <protection locked="0"/>
    </xf>
    <xf numFmtId="169" fontId="6" fillId="0" borderId="43" xfId="42" applyNumberFormat="1" applyFont="1" applyFill="1" applyBorder="1" applyAlignment="1">
      <alignment horizontal="center" vertical="top" wrapText="1"/>
    </xf>
    <xf numFmtId="169" fontId="7" fillId="0" borderId="43" xfId="42" applyNumberFormat="1" applyFont="1" applyFill="1" applyBorder="1" applyAlignment="1">
      <alignment horizontal="center" vertical="top" wrapText="1"/>
    </xf>
    <xf numFmtId="0" fontId="6" fillId="0" borderId="59" xfId="0" applyFont="1" applyBorder="1"/>
    <xf numFmtId="173" fontId="6" fillId="0" borderId="66" xfId="0" applyNumberFormat="1" applyFont="1" applyBorder="1"/>
    <xf numFmtId="0" fontId="7" fillId="0" borderId="27" xfId="0" applyNumberFormat="1" applyFont="1" applyBorder="1" applyAlignment="1">
      <alignment vertical="center"/>
    </xf>
    <xf numFmtId="0" fontId="7" fillId="0" borderId="40" xfId="0" applyNumberFormat="1" applyFont="1" applyBorder="1" applyAlignment="1">
      <alignment horizontal="left"/>
    </xf>
    <xf numFmtId="0" fontId="7" fillId="0" borderId="35" xfId="0" applyNumberFormat="1" applyFont="1" applyBorder="1" applyAlignment="1">
      <alignment vertical="center"/>
    </xf>
    <xf numFmtId="0" fontId="9" fillId="0" borderId="27" xfId="0" applyFont="1" applyBorder="1"/>
    <xf numFmtId="170" fontId="6" fillId="0" borderId="38" xfId="0" quotePrefix="1" applyNumberFormat="1" applyFont="1" applyBorder="1" applyAlignment="1">
      <alignment horizontal="center"/>
    </xf>
    <xf numFmtId="170" fontId="6" fillId="0" borderId="30" xfId="0" quotePrefix="1" applyNumberFormat="1" applyFont="1" applyBorder="1" applyAlignment="1">
      <alignment horizontal="center"/>
    </xf>
    <xf numFmtId="170" fontId="6" fillId="0" borderId="29" xfId="0" quotePrefix="1" applyNumberFormat="1" applyFont="1" applyBorder="1" applyAlignment="1">
      <alignment horizontal="center"/>
    </xf>
    <xf numFmtId="170" fontId="6" fillId="0" borderId="29" xfId="0" applyNumberFormat="1" applyFont="1" applyBorder="1" applyAlignment="1">
      <alignment horizontal="center"/>
    </xf>
    <xf numFmtId="170" fontId="6" fillId="0" borderId="56" xfId="0" quotePrefix="1" applyNumberFormat="1" applyFont="1" applyBorder="1" applyAlignment="1">
      <alignment horizontal="center"/>
    </xf>
    <xf numFmtId="0" fontId="7" fillId="0" borderId="11" xfId="0" applyNumberFormat="1" applyFont="1" applyBorder="1" applyAlignment="1">
      <alignment horizontal="left" indent="1"/>
    </xf>
    <xf numFmtId="0" fontId="9" fillId="0" borderId="11" xfId="0" applyFont="1" applyBorder="1" applyAlignment="1">
      <alignment horizontal="left"/>
    </xf>
    <xf numFmtId="0" fontId="7" fillId="0" borderId="27" xfId="0" applyNumberFormat="1" applyFont="1" applyBorder="1"/>
    <xf numFmtId="0" fontId="7" fillId="0" borderId="27" xfId="0" applyFont="1" applyBorder="1" applyAlignment="1">
      <alignment vertical="center" wrapText="1"/>
    </xf>
    <xf numFmtId="0" fontId="7" fillId="0" borderId="54" xfId="0" applyFont="1" applyBorder="1" applyAlignment="1">
      <alignment horizontal="center"/>
    </xf>
    <xf numFmtId="0" fontId="7" fillId="0" borderId="40" xfId="0" applyFont="1" applyBorder="1" applyAlignment="1">
      <alignment wrapText="1"/>
    </xf>
    <xf numFmtId="173" fontId="6" fillId="0" borderId="67" xfId="0" applyNumberFormat="1" applyFont="1" applyBorder="1"/>
    <xf numFmtId="173" fontId="6" fillId="0" borderId="52" xfId="0" applyNumberFormat="1" applyFont="1" applyBorder="1"/>
    <xf numFmtId="173" fontId="6" fillId="0" borderId="49" xfId="0" applyNumberFormat="1" applyFont="1" applyBorder="1"/>
    <xf numFmtId="0" fontId="10" fillId="0" borderId="11" xfId="0" applyNumberFormat="1" applyFont="1" applyBorder="1" applyAlignment="1">
      <alignment horizontal="left" indent="2"/>
    </xf>
    <xf numFmtId="169" fontId="7" fillId="0" borderId="37" xfId="42" applyNumberFormat="1" applyFont="1" applyFill="1" applyBorder="1" applyAlignment="1">
      <alignment horizontal="center" vertical="top" wrapText="1"/>
    </xf>
    <xf numFmtId="173" fontId="7" fillId="0" borderId="54" xfId="0" applyNumberFormat="1" applyFont="1" applyBorder="1"/>
    <xf numFmtId="173" fontId="7" fillId="0" borderId="62" xfId="0" applyNumberFormat="1" applyFont="1" applyBorder="1"/>
    <xf numFmtId="173" fontId="7" fillId="0" borderId="36" xfId="0" applyNumberFormat="1" applyFont="1" applyBorder="1"/>
    <xf numFmtId="169" fontId="7" fillId="0" borderId="36" xfId="42" applyNumberFormat="1" applyFont="1" applyFill="1" applyBorder="1" applyAlignment="1">
      <alignment horizontal="center" vertical="top" wrapText="1"/>
    </xf>
    <xf numFmtId="173" fontId="7" fillId="0" borderId="51" xfId="0" applyNumberFormat="1" applyFont="1" applyBorder="1"/>
    <xf numFmtId="0" fontId="6" fillId="0" borderId="10" xfId="0" applyFont="1" applyFill="1" applyBorder="1" applyAlignment="1">
      <alignment horizontal="left" indent="1"/>
    </xf>
    <xf numFmtId="0" fontId="7" fillId="0" borderId="10" xfId="0" applyFont="1" applyFill="1" applyBorder="1" applyAlignment="1">
      <alignment wrapText="1"/>
    </xf>
    <xf numFmtId="0" fontId="7" fillId="0" borderId="10" xfId="0" applyFont="1" applyFill="1" applyBorder="1"/>
    <xf numFmtId="0" fontId="10" fillId="0" borderId="0" xfId="0" applyFont="1" applyBorder="1" applyProtection="1"/>
    <xf numFmtId="0" fontId="6" fillId="0" borderId="31" xfId="0" applyFont="1" applyBorder="1" applyAlignment="1">
      <alignment horizontal="center"/>
    </xf>
    <xf numFmtId="0" fontId="7" fillId="0" borderId="35" xfId="0" applyNumberFormat="1" applyFont="1" applyBorder="1" applyAlignment="1">
      <alignment horizontal="left" wrapText="1"/>
    </xf>
    <xf numFmtId="0" fontId="6" fillId="0" borderId="47" xfId="0" applyFont="1" applyBorder="1" applyAlignment="1">
      <alignment horizontal="center"/>
    </xf>
    <xf numFmtId="0" fontId="0" fillId="0" borderId="0" xfId="0" applyProtection="1">
      <protection locked="0"/>
    </xf>
    <xf numFmtId="0" fontId="2" fillId="0" borderId="0" xfId="0" applyFont="1" applyProtection="1">
      <protection locked="0"/>
    </xf>
    <xf numFmtId="175" fontId="2" fillId="0" borderId="11" xfId="0" applyNumberFormat="1" applyFont="1" applyBorder="1" applyAlignment="1">
      <alignment horizontal="left"/>
    </xf>
    <xf numFmtId="174" fontId="6" fillId="0" borderId="45" xfId="42" applyNumberFormat="1" applyFont="1" applyBorder="1"/>
    <xf numFmtId="174" fontId="7" fillId="0" borderId="22" xfId="42" applyNumberFormat="1" applyFont="1" applyBorder="1" applyAlignment="1">
      <alignment vertical="top"/>
    </xf>
    <xf numFmtId="174" fontId="7" fillId="0" borderId="45" xfId="42" applyNumberFormat="1" applyFont="1" applyBorder="1" applyAlignment="1">
      <alignment vertical="top"/>
    </xf>
    <xf numFmtId="174" fontId="7" fillId="0" borderId="43" xfId="42" applyNumberFormat="1" applyFont="1" applyBorder="1"/>
    <xf numFmtId="172" fontId="7" fillId="25" borderId="22" xfId="0" applyNumberFormat="1" applyFont="1" applyFill="1" applyBorder="1"/>
    <xf numFmtId="174" fontId="7" fillId="25" borderId="22" xfId="42" applyNumberFormat="1" applyFont="1" applyFill="1" applyBorder="1"/>
    <xf numFmtId="173" fontId="7" fillId="0" borderId="47" xfId="0" applyNumberFormat="1" applyFont="1" applyFill="1" applyBorder="1"/>
    <xf numFmtId="173" fontId="7" fillId="0" borderId="61" xfId="0" applyNumberFormat="1" applyFont="1" applyFill="1" applyBorder="1"/>
    <xf numFmtId="9" fontId="7" fillId="0" borderId="31" xfId="42" applyFont="1" applyFill="1" applyBorder="1" applyAlignment="1">
      <alignment horizontal="center"/>
    </xf>
    <xf numFmtId="173" fontId="7" fillId="0" borderId="80" xfId="0" applyNumberFormat="1" applyFont="1" applyFill="1" applyBorder="1"/>
    <xf numFmtId="173" fontId="7" fillId="0" borderId="10" xfId="0" applyNumberFormat="1" applyFont="1" applyFill="1" applyBorder="1"/>
    <xf numFmtId="173" fontId="7" fillId="0" borderId="26" xfId="0" applyNumberFormat="1" applyFont="1" applyFill="1" applyBorder="1"/>
    <xf numFmtId="173" fontId="7" fillId="0" borderId="46" xfId="0" applyNumberFormat="1" applyFont="1" applyFill="1" applyBorder="1"/>
    <xf numFmtId="0" fontId="6" fillId="0" borderId="22" xfId="0" applyNumberFormat="1" applyFont="1" applyBorder="1" applyAlignment="1">
      <alignment horizontal="center"/>
    </xf>
    <xf numFmtId="173" fontId="7" fillId="0" borderId="31" xfId="0" applyNumberFormat="1" applyFont="1" applyFill="1" applyBorder="1" applyProtection="1"/>
    <xf numFmtId="173" fontId="7" fillId="0" borderId="47" xfId="0" applyNumberFormat="1" applyFont="1" applyFill="1" applyBorder="1" applyProtection="1"/>
    <xf numFmtId="0" fontId="6" fillId="0" borderId="26" xfId="0" applyNumberFormat="1" applyFont="1" applyFill="1" applyBorder="1" applyAlignment="1" applyProtection="1">
      <alignment horizontal="left" indent="2"/>
    </xf>
    <xf numFmtId="173" fontId="6" fillId="0" borderId="43" xfId="0" applyNumberFormat="1" applyFont="1" applyFill="1" applyBorder="1" applyProtection="1"/>
    <xf numFmtId="173" fontId="6" fillId="0" borderId="52" xfId="0" applyNumberFormat="1" applyFont="1" applyFill="1" applyBorder="1" applyProtection="1"/>
    <xf numFmtId="173" fontId="6" fillId="0" borderId="49" xfId="0" applyNumberFormat="1" applyFont="1" applyFill="1" applyBorder="1" applyProtection="1"/>
    <xf numFmtId="173" fontId="7" fillId="0" borderId="43" xfId="0" applyNumberFormat="1" applyFont="1" applyFill="1" applyBorder="1" applyProtection="1"/>
    <xf numFmtId="173" fontId="7" fillId="0" borderId="78" xfId="0" applyNumberFormat="1" applyFont="1" applyFill="1" applyBorder="1" applyProtection="1"/>
    <xf numFmtId="173" fontId="7" fillId="0" borderId="52" xfId="0" applyNumberFormat="1" applyFont="1" applyFill="1" applyBorder="1" applyProtection="1"/>
    <xf numFmtId="173" fontId="7" fillId="0" borderId="49" xfId="0" applyNumberFormat="1" applyFont="1" applyFill="1" applyBorder="1" applyProtection="1"/>
    <xf numFmtId="0" fontId="7" fillId="0" borderId="11" xfId="0" applyNumberFormat="1" applyFont="1" applyBorder="1" applyProtection="1"/>
    <xf numFmtId="173" fontId="7" fillId="0" borderId="43" xfId="0" applyNumberFormat="1" applyFont="1" applyFill="1" applyBorder="1"/>
    <xf numFmtId="173" fontId="7" fillId="0" borderId="49" xfId="0" applyNumberFormat="1" applyFont="1" applyFill="1" applyBorder="1"/>
    <xf numFmtId="0" fontId="6" fillId="0" borderId="11" xfId="0" applyNumberFormat="1" applyFont="1" applyBorder="1" applyProtection="1"/>
    <xf numFmtId="0" fontId="9" fillId="0" borderId="11" xfId="0" applyNumberFormat="1" applyFont="1" applyBorder="1" applyProtection="1"/>
    <xf numFmtId="0" fontId="12" fillId="0" borderId="22" xfId="0" applyNumberFormat="1" applyFont="1" applyBorder="1" applyAlignment="1" applyProtection="1">
      <alignment horizontal="center"/>
    </xf>
    <xf numFmtId="0" fontId="7" fillId="0" borderId="27" xfId="0" applyNumberFormat="1" applyFont="1" applyBorder="1" applyProtection="1"/>
    <xf numFmtId="0" fontId="6" fillId="0" borderId="29" xfId="0" applyNumberFormat="1" applyFont="1" applyBorder="1" applyAlignment="1" applyProtection="1">
      <alignment horizontal="center"/>
    </xf>
    <xf numFmtId="0" fontId="11" fillId="0" borderId="0" xfId="0" applyFont="1" applyBorder="1" applyAlignment="1" applyProtection="1">
      <alignment horizontal="left"/>
    </xf>
    <xf numFmtId="0" fontId="10" fillId="0" borderId="0" xfId="0" applyFont="1" applyBorder="1" applyAlignment="1" applyProtection="1">
      <alignment horizontal="center"/>
    </xf>
    <xf numFmtId="170" fontId="8" fillId="0" borderId="0" xfId="0" applyNumberFormat="1" applyFont="1" applyBorder="1" applyProtection="1">
      <protection locked="0"/>
    </xf>
    <xf numFmtId="0" fontId="8" fillId="0" borderId="0" xfId="0" applyFont="1" applyBorder="1" applyProtection="1"/>
    <xf numFmtId="170" fontId="8" fillId="0" borderId="0" xfId="0" applyNumberFormat="1" applyFont="1" applyBorder="1" applyProtection="1"/>
    <xf numFmtId="166" fontId="10" fillId="0" borderId="0" xfId="28" applyNumberFormat="1" applyFont="1" applyBorder="1" applyAlignment="1">
      <alignment horizontal="right"/>
    </xf>
    <xf numFmtId="166" fontId="10" fillId="0" borderId="0" xfId="28" applyNumberFormat="1" applyFont="1" applyFill="1" applyBorder="1" applyAlignment="1">
      <alignment horizontal="right"/>
    </xf>
    <xf numFmtId="173" fontId="6" fillId="0" borderId="0" xfId="0" applyNumberFormat="1" applyFont="1"/>
    <xf numFmtId="0" fontId="7" fillId="0" borderId="23" xfId="0" applyFont="1" applyFill="1" applyBorder="1" applyAlignment="1">
      <alignment horizontal="center"/>
    </xf>
    <xf numFmtId="173" fontId="6" fillId="0" borderId="31" xfId="0" applyNumberFormat="1" applyFont="1" applyFill="1" applyBorder="1"/>
    <xf numFmtId="9" fontId="6" fillId="0" borderId="31" xfId="42" applyFont="1" applyFill="1" applyBorder="1" applyAlignment="1">
      <alignment horizontal="center"/>
    </xf>
    <xf numFmtId="173" fontId="7" fillId="0" borderId="24" xfId="0" applyNumberFormat="1" applyFont="1" applyFill="1" applyBorder="1"/>
    <xf numFmtId="170" fontId="8" fillId="0" borderId="0" xfId="0" applyNumberFormat="1" applyFont="1" applyFill="1" applyBorder="1" applyProtection="1">
      <protection locked="0"/>
    </xf>
    <xf numFmtId="170" fontId="8" fillId="0" borderId="0" xfId="0" applyNumberFormat="1" applyFont="1" applyFill="1" applyBorder="1" applyProtection="1"/>
    <xf numFmtId="173" fontId="7" fillId="0" borderId="22" xfId="0" applyNumberFormat="1" applyFont="1" applyFill="1" applyBorder="1" applyProtection="1"/>
    <xf numFmtId="9" fontId="7" fillId="0" borderId="24" xfId="42" applyFont="1" applyFill="1" applyBorder="1" applyAlignment="1">
      <alignment horizontal="center"/>
    </xf>
    <xf numFmtId="173" fontId="7" fillId="0" borderId="50" xfId="0" applyNumberFormat="1" applyFont="1" applyFill="1" applyBorder="1"/>
    <xf numFmtId="173" fontId="7" fillId="0" borderId="58" xfId="0" applyNumberFormat="1" applyFont="1" applyFill="1" applyBorder="1"/>
    <xf numFmtId="173" fontId="7" fillId="0" borderId="46" xfId="0" applyNumberFormat="1" applyFont="1" applyFill="1" applyBorder="1" applyProtection="1"/>
    <xf numFmtId="173" fontId="6" fillId="0" borderId="46" xfId="0" applyNumberFormat="1" applyFont="1" applyFill="1" applyBorder="1" applyProtection="1"/>
    <xf numFmtId="173" fontId="6" fillId="0" borderId="46" xfId="29" applyNumberFormat="1" applyFont="1" applyFill="1" applyBorder="1" applyProtection="1"/>
    <xf numFmtId="173" fontId="7" fillId="0" borderId="55" xfId="0" applyNumberFormat="1" applyFont="1" applyFill="1" applyBorder="1"/>
    <xf numFmtId="173" fontId="6" fillId="0" borderId="13" xfId="0" applyNumberFormat="1" applyFont="1" applyFill="1" applyBorder="1"/>
    <xf numFmtId="0" fontId="0" fillId="0" borderId="0" xfId="0" applyProtection="1"/>
    <xf numFmtId="0" fontId="3" fillId="29" borderId="72" xfId="0" applyFont="1" applyFill="1" applyBorder="1" applyAlignment="1" applyProtection="1">
      <alignment horizontal="center"/>
    </xf>
    <xf numFmtId="173" fontId="6" fillId="0" borderId="10" xfId="0" applyNumberFormat="1" applyFont="1" applyFill="1" applyBorder="1" applyProtection="1"/>
    <xf numFmtId="173" fontId="6" fillId="0" borderId="26" xfId="0" applyNumberFormat="1" applyFont="1" applyFill="1" applyBorder="1" applyProtection="1"/>
    <xf numFmtId="173" fontId="6" fillId="0" borderId="37" xfId="0" applyNumberFormat="1" applyFont="1" applyFill="1" applyBorder="1" applyProtection="1"/>
    <xf numFmtId="173" fontId="6" fillId="0" borderId="54" xfId="0" applyNumberFormat="1" applyFont="1" applyFill="1" applyBorder="1" applyProtection="1"/>
    <xf numFmtId="173" fontId="6" fillId="0" borderId="66" xfId="0" applyNumberFormat="1" applyFont="1" applyFill="1" applyBorder="1" applyProtection="1"/>
    <xf numFmtId="173" fontId="6" fillId="0" borderId="81" xfId="0" applyNumberFormat="1" applyFont="1" applyFill="1" applyBorder="1" applyProtection="1"/>
    <xf numFmtId="173" fontId="6" fillId="0" borderId="51" xfId="0" applyNumberFormat="1" applyFont="1" applyFill="1" applyBorder="1" applyProtection="1"/>
    <xf numFmtId="173" fontId="7" fillId="0" borderId="10" xfId="0" applyNumberFormat="1" applyFont="1" applyFill="1" applyBorder="1" applyAlignment="1" applyProtection="1">
      <alignment vertical="top"/>
    </xf>
    <xf numFmtId="173" fontId="7" fillId="0" borderId="26" xfId="0" applyNumberFormat="1" applyFont="1" applyFill="1" applyBorder="1" applyAlignment="1" applyProtection="1">
      <alignment vertical="top"/>
    </xf>
    <xf numFmtId="173" fontId="7" fillId="0" borderId="22" xfId="0" applyNumberFormat="1" applyFont="1" applyFill="1" applyBorder="1" applyAlignment="1" applyProtection="1">
      <alignment vertical="top"/>
    </xf>
    <xf numFmtId="173" fontId="7" fillId="0" borderId="37" xfId="0" applyNumberFormat="1" applyFont="1" applyFill="1" applyBorder="1" applyAlignment="1" applyProtection="1">
      <alignment vertical="top"/>
    </xf>
    <xf numFmtId="173" fontId="7" fillId="0" borderId="46" xfId="0" applyNumberFormat="1" applyFont="1" applyFill="1" applyBorder="1" applyAlignment="1" applyProtection="1">
      <alignment vertical="top"/>
    </xf>
    <xf numFmtId="173" fontId="7" fillId="0" borderId="54" xfId="0" applyNumberFormat="1" applyFont="1" applyFill="1" applyBorder="1" applyProtection="1"/>
    <xf numFmtId="173" fontId="7" fillId="0" borderId="66" xfId="0" applyNumberFormat="1" applyFont="1" applyFill="1" applyBorder="1" applyProtection="1"/>
    <xf numFmtId="173" fontId="7" fillId="0" borderId="36" xfId="0" applyNumberFormat="1" applyFont="1" applyFill="1" applyBorder="1" applyProtection="1"/>
    <xf numFmtId="173" fontId="7" fillId="0" borderId="81" xfId="0" applyNumberFormat="1" applyFont="1" applyFill="1" applyBorder="1" applyProtection="1"/>
    <xf numFmtId="173" fontId="7" fillId="0" borderId="51" xfId="0" applyNumberFormat="1" applyFont="1" applyFill="1" applyBorder="1" applyProtection="1"/>
    <xf numFmtId="173" fontId="7" fillId="0" borderId="10" xfId="0" applyNumberFormat="1" applyFont="1" applyFill="1" applyBorder="1" applyProtection="1"/>
    <xf numFmtId="173" fontId="7" fillId="0" borderId="26" xfId="0" applyNumberFormat="1" applyFont="1" applyFill="1" applyBorder="1" applyProtection="1"/>
    <xf numFmtId="173" fontId="7" fillId="0" borderId="37" xfId="0" applyNumberFormat="1" applyFont="1" applyFill="1" applyBorder="1" applyProtection="1"/>
    <xf numFmtId="173" fontId="7" fillId="0" borderId="67" xfId="0" applyNumberFormat="1" applyFont="1" applyFill="1" applyBorder="1" applyProtection="1"/>
    <xf numFmtId="173" fontId="7" fillId="0" borderId="45" xfId="0" applyNumberFormat="1" applyFont="1" applyFill="1" applyBorder="1" applyProtection="1"/>
    <xf numFmtId="173" fontId="6" fillId="0" borderId="45" xfId="0" applyNumberFormat="1" applyFont="1" applyFill="1" applyBorder="1" applyProtection="1"/>
    <xf numFmtId="173" fontId="6" fillId="0" borderId="45" xfId="28" applyNumberFormat="1" applyFont="1" applyFill="1" applyBorder="1" applyProtection="1"/>
    <xf numFmtId="173" fontId="6" fillId="0" borderId="22" xfId="28" applyNumberFormat="1" applyFont="1" applyFill="1" applyBorder="1" applyProtection="1"/>
    <xf numFmtId="173" fontId="6" fillId="0" borderId="46" xfId="28" applyNumberFormat="1" applyFont="1" applyFill="1" applyBorder="1" applyProtection="1"/>
    <xf numFmtId="9" fontId="6" fillId="0" borderId="46" xfId="42" applyFont="1" applyFill="1" applyBorder="1" applyAlignment="1" applyProtection="1">
      <alignment horizontal="center"/>
    </xf>
    <xf numFmtId="173" fontId="6" fillId="0" borderId="46" xfId="0" applyNumberFormat="1" applyFont="1" applyFill="1" applyBorder="1" applyAlignment="1" applyProtection="1">
      <alignment horizontal="center"/>
    </xf>
    <xf numFmtId="173" fontId="6" fillId="0" borderId="51" xfId="0" applyNumberFormat="1" applyFont="1" applyFill="1" applyBorder="1" applyAlignment="1" applyProtection="1">
      <alignment horizontal="center"/>
    </xf>
    <xf numFmtId="173" fontId="6" fillId="0" borderId="67" xfId="0" applyNumberFormat="1" applyFont="1" applyFill="1" applyBorder="1" applyProtection="1"/>
    <xf numFmtId="0" fontId="6" fillId="0" borderId="0" xfId="0" applyFont="1" applyFill="1" applyAlignment="1" applyProtection="1">
      <alignment horizontal="center"/>
    </xf>
    <xf numFmtId="166" fontId="6" fillId="0" borderId="0" xfId="28" applyNumberFormat="1" applyFont="1" applyFill="1" applyProtection="1"/>
    <xf numFmtId="0" fontId="0" fillId="28" borderId="0" xfId="0" applyFill="1" applyProtection="1">
      <protection locked="0"/>
    </xf>
    <xf numFmtId="0" fontId="13" fillId="0" borderId="0" xfId="0" applyFont="1" applyFill="1" applyProtection="1"/>
    <xf numFmtId="0" fontId="0" fillId="0" borderId="0" xfId="0" applyFill="1" applyProtection="1">
      <protection locked="0"/>
    </xf>
    <xf numFmtId="49" fontId="0" fillId="28" borderId="0" xfId="0" applyNumberFormat="1" applyFill="1" applyProtection="1">
      <protection locked="0"/>
    </xf>
    <xf numFmtId="0" fontId="1" fillId="28" borderId="0" xfId="0" applyFont="1" applyFill="1" applyProtection="1">
      <protection locked="0"/>
    </xf>
    <xf numFmtId="0" fontId="34" fillId="0" borderId="14" xfId="0" applyFont="1" applyFill="1" applyBorder="1" applyAlignment="1" applyProtection="1">
      <alignment horizontal="left"/>
    </xf>
    <xf numFmtId="0" fontId="38" fillId="0" borderId="0" xfId="0" applyFont="1"/>
    <xf numFmtId="0" fontId="7" fillId="0" borderId="38" xfId="0" applyNumberFormat="1" applyFont="1" applyBorder="1" applyAlignment="1">
      <alignment horizontal="left"/>
    </xf>
    <xf numFmtId="0" fontId="39" fillId="0" borderId="0" xfId="0" applyFont="1" applyBorder="1" applyAlignment="1">
      <alignment horizontal="center"/>
    </xf>
    <xf numFmtId="166" fontId="10" fillId="0" borderId="0" xfId="28" applyNumberFormat="1" applyFont="1"/>
    <xf numFmtId="0" fontId="7" fillId="24" borderId="65" xfId="0" applyFont="1" applyFill="1" applyBorder="1" applyAlignment="1">
      <alignment horizontal="center" vertical="top" wrapText="1"/>
    </xf>
    <xf numFmtId="0" fontId="7" fillId="24" borderId="39" xfId="0" applyFont="1" applyFill="1" applyBorder="1" applyAlignment="1">
      <alignment horizontal="center" vertical="top" wrapText="1"/>
    </xf>
    <xf numFmtId="0" fontId="7" fillId="0" borderId="11" xfId="0" applyFont="1" applyFill="1" applyBorder="1" applyAlignment="1">
      <alignment horizontal="left" indent="1"/>
    </xf>
    <xf numFmtId="167" fontId="10" fillId="0" borderId="0" xfId="28" applyNumberFormat="1" applyFont="1"/>
    <xf numFmtId="0" fontId="10" fillId="0" borderId="0" xfId="0" applyFont="1" applyAlignment="1">
      <alignment horizontal="center"/>
    </xf>
    <xf numFmtId="0" fontId="37" fillId="0" borderId="26" xfId="0" applyFont="1" applyFill="1" applyBorder="1" applyAlignment="1">
      <alignment horizontal="left" vertical="top" wrapText="1" indent="3"/>
    </xf>
    <xf numFmtId="0" fontId="7" fillId="0" borderId="0" xfId="0" applyFont="1" applyFill="1" applyBorder="1" applyAlignment="1">
      <alignment horizontal="center"/>
    </xf>
    <xf numFmtId="0" fontId="6" fillId="0" borderId="0" xfId="0" applyFont="1" applyFill="1" applyAlignment="1">
      <alignment horizontal="right"/>
    </xf>
    <xf numFmtId="168" fontId="6" fillId="0" borderId="0" xfId="0" applyNumberFormat="1" applyFont="1" applyFill="1"/>
    <xf numFmtId="0" fontId="10" fillId="0" borderId="0" xfId="0" applyFont="1" applyFill="1" applyBorder="1" applyAlignment="1" applyProtection="1">
      <alignment horizontal="right"/>
    </xf>
    <xf numFmtId="169" fontId="7" fillId="0" borderId="0" xfId="42" applyNumberFormat="1" applyFont="1" applyFill="1" applyBorder="1" applyAlignment="1">
      <alignment horizontal="center" vertical="top" wrapText="1"/>
    </xf>
    <xf numFmtId="0" fontId="0" fillId="28" borderId="0" xfId="0" applyNumberFormat="1" applyFill="1" applyProtection="1">
      <protection locked="0"/>
    </xf>
    <xf numFmtId="0" fontId="9" fillId="0" borderId="15" xfId="0" applyNumberFormat="1" applyFont="1" applyBorder="1"/>
    <xf numFmtId="0" fontId="10" fillId="0" borderId="0" xfId="0" applyNumberFormat="1" applyFont="1" applyBorder="1" applyProtection="1"/>
    <xf numFmtId="173" fontId="6" fillId="0" borderId="37" xfId="0" applyNumberFormat="1" applyFont="1" applyBorder="1" applyProtection="1"/>
    <xf numFmtId="173" fontId="6" fillId="0" borderId="26" xfId="0" applyNumberFormat="1" applyFont="1" applyBorder="1" applyProtection="1"/>
    <xf numFmtId="173" fontId="6" fillId="0" borderId="22" xfId="0" applyNumberFormat="1" applyFont="1" applyBorder="1" applyProtection="1"/>
    <xf numFmtId="173" fontId="6" fillId="0" borderId="0" xfId="0" applyNumberFormat="1" applyFont="1" applyBorder="1" applyProtection="1"/>
    <xf numFmtId="173" fontId="6" fillId="0" borderId="13" xfId="0" applyNumberFormat="1" applyFont="1" applyBorder="1" applyProtection="1"/>
    <xf numFmtId="173" fontId="6" fillId="0" borderId="23" xfId="0" applyNumberFormat="1" applyFont="1" applyBorder="1"/>
    <xf numFmtId="9" fontId="6" fillId="0" borderId="23" xfId="42" applyFont="1" applyBorder="1" applyAlignment="1">
      <alignment horizontal="center"/>
    </xf>
    <xf numFmtId="0" fontId="7" fillId="0" borderId="40" xfId="0" applyFont="1" applyBorder="1" applyAlignment="1">
      <alignment horizontal="left"/>
    </xf>
    <xf numFmtId="0" fontId="6" fillId="0" borderId="43" xfId="0" applyNumberFormat="1" applyFont="1" applyBorder="1" applyAlignment="1" applyProtection="1">
      <alignment horizontal="center"/>
      <protection locked="0"/>
    </xf>
    <xf numFmtId="9" fontId="7" fillId="0" borderId="22" xfId="42" applyFont="1" applyFill="1" applyBorder="1" applyAlignment="1">
      <alignment horizontal="center"/>
    </xf>
    <xf numFmtId="169" fontId="7" fillId="0" borderId="22" xfId="0" applyNumberFormat="1" applyFont="1" applyBorder="1" applyAlignment="1">
      <alignment horizontal="center"/>
    </xf>
    <xf numFmtId="169" fontId="6" fillId="0" borderId="22" xfId="42" applyNumberFormat="1" applyFont="1" applyBorder="1" applyAlignment="1">
      <alignment horizontal="center"/>
    </xf>
    <xf numFmtId="169" fontId="7" fillId="0" borderId="31" xfId="0" applyNumberFormat="1" applyFont="1" applyBorder="1"/>
    <xf numFmtId="169" fontId="6" fillId="0" borderId="22" xfId="0" applyNumberFormat="1" applyFont="1" applyBorder="1"/>
    <xf numFmtId="169" fontId="7" fillId="0" borderId="43" xfId="42" applyNumberFormat="1" applyFont="1" applyBorder="1" applyAlignment="1">
      <alignment horizontal="center"/>
    </xf>
    <xf numFmtId="169" fontId="7" fillId="0" borderId="29" xfId="42" applyNumberFormat="1" applyFont="1" applyBorder="1" applyAlignment="1">
      <alignment horizontal="center"/>
    </xf>
    <xf numFmtId="173" fontId="7" fillId="0" borderId="47" xfId="42" applyNumberFormat="1" applyFont="1" applyFill="1" applyBorder="1"/>
    <xf numFmtId="0" fontId="2" fillId="32" borderId="39" xfId="0" applyFont="1" applyFill="1" applyBorder="1" applyAlignment="1" applyProtection="1">
      <alignment horizontal="center"/>
      <protection locked="0"/>
    </xf>
    <xf numFmtId="17" fontId="2" fillId="32" borderId="12" xfId="0" quotePrefix="1" applyNumberFormat="1" applyFont="1" applyFill="1" applyBorder="1" applyProtection="1">
      <protection locked="0"/>
    </xf>
    <xf numFmtId="0" fontId="2" fillId="32" borderId="12" xfId="0" applyFont="1" applyFill="1" applyBorder="1" applyProtection="1">
      <protection locked="0"/>
    </xf>
    <xf numFmtId="0" fontId="2" fillId="32" borderId="65" xfId="0" applyFont="1" applyFill="1" applyBorder="1" applyProtection="1">
      <protection locked="0"/>
    </xf>
    <xf numFmtId="0" fontId="2" fillId="32" borderId="10" xfId="0" applyFont="1" applyFill="1" applyBorder="1" applyAlignment="1" applyProtection="1">
      <alignment horizontal="center"/>
      <protection locked="0"/>
    </xf>
    <xf numFmtId="0" fontId="2" fillId="32" borderId="0" xfId="0" applyFont="1" applyFill="1" applyBorder="1" applyProtection="1">
      <protection locked="0"/>
    </xf>
    <xf numFmtId="0" fontId="2" fillId="32" borderId="13" xfId="0" applyFont="1" applyFill="1" applyBorder="1" applyProtection="1">
      <protection locked="0"/>
    </xf>
    <xf numFmtId="0" fontId="2" fillId="32" borderId="13" xfId="0" applyFont="1" applyFill="1" applyBorder="1" applyAlignment="1" applyProtection="1">
      <alignment horizontal="center"/>
      <protection locked="0"/>
    </xf>
    <xf numFmtId="0" fontId="3" fillId="32" borderId="72" xfId="0" applyFont="1" applyFill="1" applyBorder="1" applyAlignment="1" applyProtection="1">
      <alignment horizontal="center"/>
      <protection locked="0"/>
    </xf>
    <xf numFmtId="0" fontId="2" fillId="32" borderId="0" xfId="0" applyFont="1" applyFill="1" applyAlignment="1" applyProtection="1">
      <alignment horizontal="center"/>
      <protection locked="0"/>
    </xf>
    <xf numFmtId="0" fontId="2" fillId="32" borderId="0" xfId="0" applyFont="1" applyFill="1" applyProtection="1">
      <protection locked="0"/>
    </xf>
    <xf numFmtId="0" fontId="2" fillId="32" borderId="0" xfId="0" applyFont="1" applyFill="1" applyAlignment="1" applyProtection="1">
      <alignment horizontal="left"/>
      <protection locked="0"/>
    </xf>
    <xf numFmtId="173" fontId="6" fillId="32" borderId="22" xfId="0" applyNumberFormat="1" applyFont="1" applyFill="1" applyBorder="1" applyProtection="1">
      <protection locked="0"/>
    </xf>
    <xf numFmtId="173" fontId="6" fillId="32" borderId="43" xfId="0" applyNumberFormat="1" applyFont="1" applyFill="1" applyBorder="1" applyProtection="1">
      <protection locked="0"/>
    </xf>
    <xf numFmtId="173" fontId="6" fillId="32" borderId="46" xfId="0" applyNumberFormat="1" applyFont="1" applyFill="1" applyBorder="1" applyProtection="1">
      <protection locked="0"/>
    </xf>
    <xf numFmtId="173" fontId="6" fillId="32" borderId="49" xfId="0" applyNumberFormat="1" applyFont="1" applyFill="1" applyBorder="1" applyProtection="1">
      <protection locked="0"/>
    </xf>
    <xf numFmtId="173" fontId="7" fillId="32" borderId="43" xfId="0" applyNumberFormat="1" applyFont="1" applyFill="1" applyBorder="1" applyProtection="1">
      <protection locked="0"/>
    </xf>
    <xf numFmtId="173" fontId="7" fillId="32" borderId="49" xfId="0" applyNumberFormat="1" applyFont="1" applyFill="1" applyBorder="1" applyProtection="1">
      <protection locked="0"/>
    </xf>
    <xf numFmtId="173" fontId="6" fillId="32" borderId="37" xfId="0" applyNumberFormat="1" applyFont="1" applyFill="1" applyBorder="1" applyAlignment="1" applyProtection="1">
      <alignment horizontal="right"/>
      <protection locked="0"/>
    </xf>
    <xf numFmtId="173" fontId="6" fillId="32" borderId="26" xfId="0" applyNumberFormat="1" applyFont="1" applyFill="1" applyBorder="1" applyAlignment="1" applyProtection="1">
      <alignment horizontal="right"/>
      <protection locked="0"/>
    </xf>
    <xf numFmtId="173" fontId="6" fillId="32" borderId="22" xfId="0" applyNumberFormat="1" applyFont="1" applyFill="1" applyBorder="1" applyAlignment="1" applyProtection="1">
      <alignment horizontal="right"/>
      <protection locked="0"/>
    </xf>
    <xf numFmtId="173" fontId="6" fillId="32" borderId="0" xfId="0" applyNumberFormat="1" applyFont="1" applyFill="1" applyBorder="1" applyAlignment="1" applyProtection="1">
      <alignment horizontal="right"/>
      <protection locked="0"/>
    </xf>
    <xf numFmtId="173" fontId="6" fillId="32" borderId="13" xfId="0" applyNumberFormat="1" applyFont="1" applyFill="1" applyBorder="1" applyAlignment="1" applyProtection="1">
      <alignment horizontal="right"/>
      <protection locked="0"/>
    </xf>
    <xf numFmtId="173" fontId="6" fillId="32" borderId="37" xfId="0" applyNumberFormat="1" applyFont="1" applyFill="1" applyBorder="1" applyProtection="1">
      <protection locked="0"/>
    </xf>
    <xf numFmtId="173" fontId="6" fillId="32" borderId="26" xfId="0" applyNumberFormat="1" applyFont="1" applyFill="1" applyBorder="1" applyProtection="1">
      <protection locked="0"/>
    </xf>
    <xf numFmtId="173" fontId="6" fillId="32" borderId="0" xfId="0" applyNumberFormat="1" applyFont="1" applyFill="1" applyBorder="1" applyProtection="1">
      <protection locked="0"/>
    </xf>
    <xf numFmtId="173" fontId="6" fillId="32" borderId="13" xfId="0" applyNumberFormat="1" applyFont="1" applyFill="1" applyBorder="1" applyProtection="1">
      <protection locked="0"/>
    </xf>
    <xf numFmtId="173" fontId="6" fillId="32" borderId="10" xfId="0" applyNumberFormat="1" applyFont="1" applyFill="1" applyBorder="1" applyProtection="1">
      <protection locked="0"/>
    </xf>
    <xf numFmtId="173" fontId="6" fillId="32" borderId="54" xfId="0" applyNumberFormat="1" applyFont="1" applyFill="1" applyBorder="1" applyProtection="1">
      <protection locked="0"/>
    </xf>
    <xf numFmtId="173" fontId="6" fillId="32" borderId="66" xfId="0" applyNumberFormat="1" applyFont="1" applyFill="1" applyBorder="1" applyProtection="1">
      <protection locked="0"/>
    </xf>
    <xf numFmtId="173" fontId="6" fillId="32" borderId="36" xfId="0" applyNumberFormat="1" applyFont="1" applyFill="1" applyBorder="1" applyProtection="1">
      <protection locked="0"/>
    </xf>
    <xf numFmtId="173" fontId="6" fillId="32" borderId="51" xfId="0" applyNumberFormat="1" applyFont="1" applyFill="1" applyBorder="1" applyProtection="1">
      <protection locked="0"/>
    </xf>
    <xf numFmtId="173" fontId="6" fillId="32" borderId="45" xfId="0" applyNumberFormat="1" applyFont="1" applyFill="1" applyBorder="1" applyProtection="1">
      <protection locked="0"/>
    </xf>
    <xf numFmtId="173" fontId="6" fillId="32" borderId="46" xfId="28" applyNumberFormat="1" applyFont="1" applyFill="1" applyBorder="1" applyProtection="1">
      <protection locked="0"/>
    </xf>
    <xf numFmtId="173" fontId="6" fillId="32" borderId="45" xfId="28" applyNumberFormat="1" applyFont="1" applyFill="1" applyBorder="1" applyProtection="1">
      <protection locked="0"/>
    </xf>
    <xf numFmtId="173" fontId="6" fillId="32" borderId="22" xfId="28" applyNumberFormat="1" applyFont="1" applyFill="1" applyBorder="1" applyProtection="1">
      <protection locked="0"/>
    </xf>
    <xf numFmtId="173" fontId="6" fillId="32" borderId="62" xfId="0" applyNumberFormat="1" applyFont="1" applyFill="1" applyBorder="1" applyProtection="1">
      <protection locked="0"/>
    </xf>
    <xf numFmtId="0" fontId="6" fillId="32" borderId="10" xfId="0" applyFont="1" applyFill="1" applyBorder="1" applyProtection="1">
      <protection locked="0"/>
    </xf>
    <xf numFmtId="0" fontId="6" fillId="32" borderId="19" xfId="0" applyFont="1" applyFill="1" applyBorder="1" applyProtection="1">
      <protection locked="0"/>
    </xf>
    <xf numFmtId="173" fontId="6" fillId="32" borderId="19" xfId="0" applyNumberFormat="1" applyFont="1" applyFill="1" applyBorder="1" applyProtection="1">
      <protection locked="0"/>
    </xf>
    <xf numFmtId="169" fontId="6" fillId="32" borderId="10" xfId="42" applyNumberFormat="1" applyFont="1" applyFill="1" applyBorder="1" applyAlignment="1" applyProtection="1">
      <alignment horizontal="center" vertical="top" wrapText="1"/>
      <protection locked="0"/>
    </xf>
    <xf numFmtId="169" fontId="6" fillId="32" borderId="45" xfId="42" applyNumberFormat="1" applyFont="1" applyFill="1" applyBorder="1" applyAlignment="1" applyProtection="1">
      <alignment horizontal="center" vertical="top" wrapText="1"/>
      <protection locked="0"/>
    </xf>
    <xf numFmtId="169" fontId="6" fillId="32" borderId="22" xfId="42" applyNumberFormat="1" applyFont="1" applyFill="1" applyBorder="1" applyAlignment="1" applyProtection="1">
      <alignment horizontal="center" vertical="top" wrapText="1"/>
      <protection locked="0"/>
    </xf>
    <xf numFmtId="169" fontId="6" fillId="32" borderId="46" xfId="42" applyNumberFormat="1" applyFont="1" applyFill="1" applyBorder="1" applyAlignment="1" applyProtection="1">
      <alignment horizontal="center" vertical="top" wrapText="1"/>
      <protection locked="0"/>
    </xf>
    <xf numFmtId="169" fontId="6" fillId="32" borderId="19" xfId="42" applyNumberFormat="1" applyFont="1" applyFill="1" applyBorder="1" applyAlignment="1" applyProtection="1">
      <alignment horizontal="center" vertical="top" wrapText="1"/>
      <protection locked="0"/>
    </xf>
    <xf numFmtId="169" fontId="6" fillId="32" borderId="58" xfId="42" applyNumberFormat="1" applyFont="1" applyFill="1" applyBorder="1" applyAlignment="1" applyProtection="1">
      <alignment horizontal="center" vertical="top" wrapText="1"/>
      <protection locked="0"/>
    </xf>
    <xf numFmtId="169" fontId="6" fillId="32" borderId="24" xfId="42" applyNumberFormat="1" applyFont="1" applyFill="1" applyBorder="1" applyAlignment="1" applyProtection="1">
      <alignment horizontal="center" vertical="top" wrapText="1"/>
      <protection locked="0"/>
    </xf>
    <xf numFmtId="169" fontId="6" fillId="32" borderId="50" xfId="42" applyNumberFormat="1" applyFont="1" applyFill="1" applyBorder="1" applyAlignment="1" applyProtection="1">
      <alignment horizontal="center" vertical="top" wrapText="1"/>
      <protection locked="0"/>
    </xf>
    <xf numFmtId="170" fontId="6" fillId="32" borderId="0" xfId="0" applyNumberFormat="1" applyFont="1" applyFill="1" applyBorder="1" applyProtection="1">
      <protection locked="0"/>
    </xf>
    <xf numFmtId="170" fontId="6" fillId="32" borderId="13" xfId="0" applyNumberFormat="1" applyFont="1" applyFill="1" applyBorder="1" applyProtection="1">
      <protection locked="0"/>
    </xf>
    <xf numFmtId="170" fontId="6" fillId="32" borderId="0" xfId="28" applyNumberFormat="1" applyFont="1" applyFill="1" applyBorder="1" applyProtection="1">
      <protection locked="0"/>
    </xf>
    <xf numFmtId="170" fontId="6" fillId="32" borderId="13" xfId="28" applyNumberFormat="1" applyFont="1" applyFill="1" applyBorder="1" applyProtection="1">
      <protection locked="0"/>
    </xf>
    <xf numFmtId="170" fontId="6" fillId="32" borderId="14" xfId="28" applyNumberFormat="1" applyFont="1" applyFill="1" applyBorder="1" applyProtection="1">
      <protection locked="0"/>
    </xf>
    <xf numFmtId="170" fontId="6" fillId="32" borderId="14" xfId="0" applyNumberFormat="1" applyFont="1" applyFill="1" applyBorder="1" applyProtection="1">
      <protection locked="0"/>
    </xf>
    <xf numFmtId="170" fontId="6" fillId="32" borderId="17" xfId="0" applyNumberFormat="1" applyFont="1" applyFill="1" applyBorder="1" applyProtection="1">
      <protection locked="0"/>
    </xf>
    <xf numFmtId="0" fontId="6" fillId="32" borderId="11" xfId="0" applyFont="1" applyFill="1" applyBorder="1" applyProtection="1">
      <protection locked="0"/>
    </xf>
    <xf numFmtId="0" fontId="6" fillId="32" borderId="11" xfId="0" applyNumberFormat="1" applyFont="1" applyFill="1" applyBorder="1" applyAlignment="1" applyProtection="1">
      <alignment horizontal="left" indent="1"/>
      <protection locked="0"/>
    </xf>
    <xf numFmtId="0" fontId="6" fillId="32" borderId="11" xfId="0" applyFont="1" applyFill="1" applyBorder="1" applyAlignment="1" applyProtection="1">
      <alignment horizontal="left" indent="2"/>
      <protection locked="0"/>
    </xf>
    <xf numFmtId="173" fontId="6" fillId="32" borderId="67" xfId="0" applyNumberFormat="1" applyFont="1" applyFill="1" applyBorder="1" applyProtection="1">
      <protection locked="0"/>
    </xf>
    <xf numFmtId="173" fontId="6" fillId="32" borderId="52" xfId="0" applyNumberFormat="1" applyFont="1" applyFill="1" applyBorder="1" applyProtection="1">
      <protection locked="0"/>
    </xf>
    <xf numFmtId="0" fontId="10" fillId="32" borderId="11" xfId="0" applyFont="1" applyFill="1" applyBorder="1" applyAlignment="1" applyProtection="1">
      <alignment horizontal="left" indent="2"/>
      <protection locked="0"/>
    </xf>
    <xf numFmtId="0" fontId="6" fillId="32" borderId="0" xfId="0" applyFont="1" applyFill="1" applyProtection="1">
      <protection locked="0"/>
    </xf>
    <xf numFmtId="173" fontId="7" fillId="32" borderId="67" xfId="0" applyNumberFormat="1" applyFont="1" applyFill="1" applyBorder="1" applyProtection="1">
      <protection locked="0"/>
    </xf>
    <xf numFmtId="173" fontId="7" fillId="32" borderId="52" xfId="0" applyNumberFormat="1" applyFont="1" applyFill="1" applyBorder="1" applyProtection="1">
      <protection locked="0"/>
    </xf>
    <xf numFmtId="0" fontId="10" fillId="32" borderId="0" xfId="0" applyFont="1" applyFill="1" applyBorder="1" applyAlignment="1" applyProtection="1">
      <alignment horizontal="left" indent="2"/>
      <protection locked="0"/>
    </xf>
    <xf numFmtId="173" fontId="7" fillId="32" borderId="10" xfId="0" applyNumberFormat="1" applyFont="1" applyFill="1" applyBorder="1" applyProtection="1">
      <protection locked="0"/>
    </xf>
    <xf numFmtId="173" fontId="7" fillId="32" borderId="26" xfId="0" applyNumberFormat="1" applyFont="1" applyFill="1" applyBorder="1" applyProtection="1">
      <protection locked="0"/>
    </xf>
    <xf numFmtId="173" fontId="7" fillId="32" borderId="22" xfId="0" applyNumberFormat="1" applyFont="1" applyFill="1" applyBorder="1" applyProtection="1">
      <protection locked="0"/>
    </xf>
    <xf numFmtId="173" fontId="7" fillId="32" borderId="46" xfId="0" applyNumberFormat="1" applyFont="1" applyFill="1" applyBorder="1" applyProtection="1">
      <protection locked="0"/>
    </xf>
    <xf numFmtId="0" fontId="7" fillId="32" borderId="62" xfId="0" applyFont="1" applyFill="1" applyBorder="1" applyAlignment="1" applyProtection="1">
      <alignment horizontal="center" vertical="center"/>
      <protection locked="0"/>
    </xf>
    <xf numFmtId="0" fontId="7" fillId="32" borderId="36" xfId="0" applyFont="1" applyFill="1" applyBorder="1" applyAlignment="1" applyProtection="1">
      <alignment horizontal="center" vertical="center"/>
      <protection locked="0"/>
    </xf>
    <xf numFmtId="0" fontId="7" fillId="32" borderId="81" xfId="0" applyFont="1" applyFill="1" applyBorder="1" applyAlignment="1" applyProtection="1">
      <alignment horizontal="center" vertical="center"/>
      <protection locked="0"/>
    </xf>
    <xf numFmtId="0" fontId="10" fillId="32" borderId="11" xfId="0" applyFont="1" applyFill="1" applyBorder="1" applyProtection="1">
      <protection locked="0"/>
    </xf>
    <xf numFmtId="12" fontId="6" fillId="32" borderId="82" xfId="0" applyNumberFormat="1" applyFont="1" applyFill="1" applyBorder="1" applyProtection="1">
      <protection locked="0"/>
    </xf>
    <xf numFmtId="173" fontId="6" fillId="0" borderId="72" xfId="0" applyNumberFormat="1" applyFont="1" applyBorder="1"/>
    <xf numFmtId="0" fontId="47" fillId="33" borderId="0" xfId="0" applyFont="1" applyFill="1" applyProtection="1"/>
    <xf numFmtId="0" fontId="37" fillId="33" borderId="0" xfId="0" applyFont="1" applyFill="1" applyProtection="1">
      <protection locked="0"/>
    </xf>
    <xf numFmtId="0" fontId="47" fillId="33" borderId="0" xfId="0" applyFont="1" applyFill="1" applyAlignment="1" applyProtection="1">
      <alignment horizontal="right"/>
    </xf>
    <xf numFmtId="0" fontId="47" fillId="33" borderId="11" xfId="0" applyFont="1" applyFill="1" applyBorder="1" applyAlignment="1" applyProtection="1">
      <alignment horizontal="left" indent="1"/>
      <protection locked="0"/>
    </xf>
    <xf numFmtId="0" fontId="37" fillId="32" borderId="0" xfId="0" applyFont="1" applyFill="1" applyAlignment="1" applyProtection="1">
      <alignment horizontal="left" indent="1"/>
      <protection locked="0"/>
    </xf>
    <xf numFmtId="49" fontId="47" fillId="33" borderId="0" xfId="0" applyNumberFormat="1" applyFont="1" applyFill="1" applyAlignment="1" applyProtection="1">
      <alignment horizontal="right"/>
    </xf>
    <xf numFmtId="0" fontId="40" fillId="32" borderId="72" xfId="0" applyFont="1" applyFill="1" applyBorder="1" applyProtection="1">
      <protection locked="0"/>
    </xf>
    <xf numFmtId="49" fontId="48" fillId="33" borderId="0" xfId="0" applyNumberFormat="1" applyFont="1" applyFill="1" applyAlignment="1" applyProtection="1">
      <alignment horizontal="right"/>
    </xf>
    <xf numFmtId="0" fontId="48" fillId="33" borderId="0" xfId="0" applyFont="1" applyFill="1" applyAlignment="1" applyProtection="1">
      <alignment horizontal="right"/>
    </xf>
    <xf numFmtId="0" fontId="47" fillId="33" borderId="0" xfId="0" applyFont="1" applyFill="1" applyProtection="1">
      <protection locked="0"/>
    </xf>
    <xf numFmtId="0" fontId="49" fillId="33" borderId="0" xfId="0" applyFont="1" applyFill="1" applyProtection="1"/>
    <xf numFmtId="0" fontId="41" fillId="33" borderId="0" xfId="0" applyFont="1" applyFill="1" applyProtection="1"/>
    <xf numFmtId="0" fontId="50" fillId="33" borderId="0" xfId="0" applyFont="1" applyFill="1" applyAlignment="1" applyProtection="1">
      <alignment horizontal="right"/>
    </xf>
    <xf numFmtId="0" fontId="6" fillId="0" borderId="26" xfId="0" applyFont="1" applyFill="1" applyBorder="1" applyAlignment="1" applyProtection="1">
      <alignment horizontal="left" indent="1"/>
    </xf>
    <xf numFmtId="0" fontId="7" fillId="0" borderId="26" xfId="0" applyFont="1" applyFill="1" applyBorder="1" applyAlignment="1" applyProtection="1">
      <alignment horizontal="left" indent="1"/>
    </xf>
    <xf numFmtId="0" fontId="16" fillId="0" borderId="17" xfId="0" applyFont="1" applyBorder="1" applyProtection="1">
      <protection hidden="1"/>
    </xf>
    <xf numFmtId="0" fontId="16" fillId="0" borderId="0" xfId="0" applyFont="1" applyProtection="1">
      <protection hidden="1"/>
    </xf>
    <xf numFmtId="0" fontId="16" fillId="0" borderId="0" xfId="0" applyFont="1" applyProtection="1"/>
    <xf numFmtId="0" fontId="16" fillId="0" borderId="0" xfId="0" applyFont="1" applyBorder="1" applyProtection="1">
      <protection hidden="1"/>
    </xf>
    <xf numFmtId="0" fontId="16" fillId="0" borderId="13" xfId="0" applyFont="1" applyBorder="1" applyProtection="1">
      <protection hidden="1"/>
    </xf>
    <xf numFmtId="0" fontId="42" fillId="0" borderId="0" xfId="0" applyFont="1" applyBorder="1" applyProtection="1">
      <protection hidden="1"/>
    </xf>
    <xf numFmtId="0" fontId="43" fillId="0" borderId="13" xfId="0" applyFont="1" applyBorder="1" applyProtection="1">
      <protection hidden="1"/>
    </xf>
    <xf numFmtId="0" fontId="5" fillId="0" borderId="83" xfId="0" applyFont="1" applyBorder="1" applyAlignment="1" applyProtection="1">
      <alignment horizontal="left" vertical="top" wrapText="1"/>
    </xf>
    <xf numFmtId="0" fontId="5" fillId="32" borderId="84" xfId="0" applyFont="1" applyFill="1" applyBorder="1" applyAlignment="1" applyProtection="1">
      <alignment horizontal="justify" vertical="center" wrapText="1"/>
      <protection locked="0"/>
    </xf>
    <xf numFmtId="0" fontId="16" fillId="0" borderId="0" xfId="0" applyFont="1" applyBorder="1" applyAlignment="1" applyProtection="1">
      <alignment horizontal="left" vertical="center"/>
    </xf>
    <xf numFmtId="0" fontId="16"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quotePrefix="1" applyNumberFormat="1" applyFont="1" applyProtection="1"/>
    <xf numFmtId="0" fontId="16" fillId="0" borderId="0" xfId="0" applyFont="1" applyAlignment="1">
      <alignment wrapText="1"/>
    </xf>
    <xf numFmtId="0" fontId="16" fillId="0" borderId="0" xfId="0" applyNumberFormat="1" applyFont="1" applyProtection="1"/>
    <xf numFmtId="0" fontId="5" fillId="0" borderId="16" xfId="0" applyFont="1" applyFill="1" applyBorder="1" applyAlignment="1" applyProtection="1">
      <alignment horizontal="left" vertical="top" wrapText="1"/>
    </xf>
    <xf numFmtId="0" fontId="5" fillId="0" borderId="17" xfId="0" applyFont="1" applyFill="1" applyBorder="1" applyAlignment="1" applyProtection="1">
      <alignment horizontal="justify" vertical="center" wrapText="1"/>
      <protection locked="0"/>
    </xf>
    <xf numFmtId="0" fontId="16" fillId="0" borderId="0" xfId="0" applyFont="1" applyAlignment="1" applyProtection="1">
      <alignment vertical="center"/>
    </xf>
    <xf numFmtId="0" fontId="5" fillId="0" borderId="15" xfId="0" applyFont="1" applyBorder="1" applyAlignment="1">
      <alignment vertical="center"/>
    </xf>
    <xf numFmtId="0" fontId="16" fillId="32" borderId="65" xfId="0" applyFont="1" applyFill="1" applyBorder="1" applyAlignment="1" applyProtection="1">
      <alignment vertical="center"/>
      <protection locked="0"/>
    </xf>
    <xf numFmtId="0" fontId="10" fillId="0" borderId="0" xfId="36" applyFont="1" applyAlignment="1" applyProtection="1"/>
    <xf numFmtId="0" fontId="16" fillId="0" borderId="0" xfId="0" applyFont="1" applyBorder="1" applyAlignment="1">
      <alignment vertical="center"/>
    </xf>
    <xf numFmtId="0" fontId="16" fillId="0" borderId="0" xfId="0" applyFont="1" applyAlignment="1" applyProtection="1">
      <alignment vertical="center"/>
      <protection hidden="1"/>
    </xf>
    <xf numFmtId="0" fontId="16" fillId="0" borderId="0" xfId="0" applyFont="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5" fillId="0" borderId="11" xfId="0" applyFont="1" applyFill="1" applyBorder="1" applyAlignment="1" applyProtection="1">
      <alignment horizontal="justify" vertical="center" wrapText="1"/>
    </xf>
    <xf numFmtId="0" fontId="5" fillId="0" borderId="13" xfId="0" applyFont="1" applyFill="1" applyBorder="1" applyAlignment="1" applyProtection="1">
      <alignment horizontal="justify" vertical="center" wrapText="1"/>
    </xf>
    <xf numFmtId="0" fontId="5" fillId="0" borderId="0" xfId="0" applyFont="1" applyBorder="1" applyAlignment="1" applyProtection="1">
      <alignment horizontal="justify" vertical="top" wrapText="1"/>
    </xf>
    <xf numFmtId="0" fontId="5" fillId="0" borderId="16" xfId="0" applyFont="1" applyFill="1" applyBorder="1" applyAlignment="1" applyProtection="1">
      <alignment horizontal="justify" vertical="center" wrapText="1"/>
    </xf>
    <xf numFmtId="0" fontId="5" fillId="0" borderId="17" xfId="0" applyFont="1" applyFill="1" applyBorder="1" applyAlignment="1" applyProtection="1">
      <alignment horizontal="justify" vertical="center" wrapText="1"/>
    </xf>
    <xf numFmtId="0" fontId="5" fillId="0" borderId="11" xfId="0" applyFont="1" applyFill="1" applyBorder="1" applyAlignment="1" applyProtection="1">
      <alignment horizontal="left" vertical="top" wrapText="1"/>
    </xf>
    <xf numFmtId="0" fontId="5" fillId="32" borderId="13" xfId="0" applyFont="1" applyFill="1" applyBorder="1" applyAlignment="1" applyProtection="1">
      <alignment horizontal="justify" vertical="top" wrapText="1"/>
      <protection locked="0"/>
    </xf>
    <xf numFmtId="0" fontId="16" fillId="0" borderId="0" xfId="36" applyFont="1" applyBorder="1" applyAlignment="1" applyProtection="1"/>
    <xf numFmtId="0" fontId="5" fillId="0" borderId="0" xfId="0" applyFont="1" applyFill="1" applyBorder="1" applyAlignment="1" applyProtection="1">
      <alignment horizontal="left" vertical="top" wrapText="1"/>
      <protection locked="0"/>
    </xf>
    <xf numFmtId="0" fontId="5" fillId="0" borderId="16" xfId="0" applyFont="1" applyFill="1" applyBorder="1" applyAlignment="1" applyProtection="1">
      <alignment horizontal="justify" vertical="top" wrapText="1"/>
    </xf>
    <xf numFmtId="0" fontId="5" fillId="0" borderId="17" xfId="0" applyFont="1" applyBorder="1" applyAlignment="1" applyProtection="1">
      <alignment horizontal="justify" vertical="top" wrapText="1"/>
    </xf>
    <xf numFmtId="0" fontId="5" fillId="32" borderId="13" xfId="0" applyFont="1" applyFill="1" applyBorder="1" applyAlignment="1" applyProtection="1">
      <alignment horizontal="left" vertical="top" wrapText="1"/>
      <protection locked="0"/>
    </xf>
    <xf numFmtId="0" fontId="5" fillId="0" borderId="0" xfId="0" applyFont="1" applyFill="1" applyBorder="1" applyAlignment="1" applyProtection="1">
      <alignment horizontal="justify" vertical="top" wrapText="1"/>
    </xf>
    <xf numFmtId="0" fontId="16" fillId="0" borderId="16" xfId="0" applyFont="1" applyBorder="1" applyAlignment="1" applyProtection="1">
      <alignment horizontal="justify" vertical="top" wrapText="1"/>
    </xf>
    <xf numFmtId="0" fontId="16" fillId="0" borderId="17" xfId="0" applyFont="1" applyBorder="1" applyAlignment="1" applyProtection="1">
      <alignment horizontal="justify" vertical="top" wrapText="1"/>
    </xf>
    <xf numFmtId="0" fontId="5" fillId="0" borderId="0" xfId="0" applyFont="1" applyAlignment="1" applyProtection="1">
      <alignment vertical="center"/>
    </xf>
    <xf numFmtId="0" fontId="5" fillId="0" borderId="0" xfId="0" applyFont="1" applyProtection="1"/>
    <xf numFmtId="0" fontId="5" fillId="0" borderId="83" xfId="0" applyFont="1" applyBorder="1" applyAlignment="1" applyProtection="1">
      <alignment horizontal="justify" wrapText="1"/>
    </xf>
    <xf numFmtId="0" fontId="16" fillId="0" borderId="84" xfId="0" applyFont="1" applyBorder="1" applyAlignment="1" applyProtection="1">
      <alignment horizontal="justify" wrapText="1"/>
    </xf>
    <xf numFmtId="0" fontId="16" fillId="0" borderId="68" xfId="0" applyFont="1" applyBorder="1" applyAlignment="1" applyProtection="1">
      <alignment horizontal="justify" wrapText="1"/>
    </xf>
    <xf numFmtId="0" fontId="16" fillId="32" borderId="18" xfId="0" applyFont="1" applyFill="1" applyBorder="1" applyAlignment="1" applyProtection="1">
      <alignment horizontal="justify" wrapText="1"/>
      <protection locked="0"/>
    </xf>
    <xf numFmtId="0" fontId="16" fillId="0" borderId="15" xfId="0" applyFont="1" applyBorder="1" applyAlignment="1" applyProtection="1">
      <alignment horizontal="justify" wrapText="1"/>
    </xf>
    <xf numFmtId="176" fontId="16" fillId="32" borderId="65" xfId="0" applyNumberFormat="1" applyFont="1" applyFill="1" applyBorder="1" applyAlignment="1" applyProtection="1">
      <alignment horizontal="justify" wrapText="1"/>
      <protection locked="0"/>
    </xf>
    <xf numFmtId="0" fontId="16" fillId="0" borderId="16" xfId="0" applyFont="1" applyFill="1" applyBorder="1" applyAlignment="1" applyProtection="1">
      <alignment horizontal="justify" wrapText="1"/>
    </xf>
    <xf numFmtId="176" fontId="16" fillId="0" borderId="17" xfId="0" applyNumberFormat="1" applyFont="1" applyFill="1" applyBorder="1" applyAlignment="1" applyProtection="1">
      <alignment horizontal="justify" wrapText="1"/>
      <protection locked="0"/>
    </xf>
    <xf numFmtId="0" fontId="5" fillId="0" borderId="68" xfId="0" applyFont="1" applyBorder="1" applyAlignment="1" applyProtection="1">
      <alignment horizontal="justify" wrapText="1"/>
    </xf>
    <xf numFmtId="0" fontId="16" fillId="0" borderId="18" xfId="0" applyFont="1" applyBorder="1" applyAlignment="1" applyProtection="1">
      <alignment horizontal="justify" wrapText="1"/>
    </xf>
    <xf numFmtId="0" fontId="16" fillId="0" borderId="0" xfId="0" applyFont="1" applyFill="1" applyProtection="1">
      <protection hidden="1"/>
    </xf>
    <xf numFmtId="0" fontId="16" fillId="0" borderId="18" xfId="0" applyFont="1" applyFill="1" applyBorder="1" applyAlignment="1" applyProtection="1">
      <alignment horizontal="justify" wrapText="1"/>
    </xf>
    <xf numFmtId="0" fontId="16" fillId="32" borderId="65" xfId="0" applyFont="1" applyFill="1" applyBorder="1" applyAlignment="1" applyProtection="1">
      <alignment horizontal="justify" wrapText="1"/>
      <protection locked="0"/>
    </xf>
    <xf numFmtId="0" fontId="16" fillId="0" borderId="17" xfId="0" applyFont="1" applyFill="1" applyBorder="1" applyAlignment="1" applyProtection="1">
      <alignment horizontal="justify" wrapText="1"/>
      <protection locked="0"/>
    </xf>
    <xf numFmtId="0" fontId="16" fillId="32" borderId="18" xfId="0" applyNumberFormat="1" applyFont="1" applyFill="1" applyBorder="1" applyAlignment="1" applyProtection="1">
      <alignment horizontal="justify" wrapText="1"/>
      <protection locked="0"/>
    </xf>
    <xf numFmtId="0" fontId="16" fillId="0" borderId="11" xfId="0" applyFont="1" applyBorder="1" applyAlignment="1" applyProtection="1">
      <alignment horizontal="justify" wrapText="1"/>
    </xf>
    <xf numFmtId="0" fontId="16" fillId="32" borderId="13" xfId="0" applyFont="1" applyFill="1" applyBorder="1" applyAlignment="1" applyProtection="1">
      <alignment horizontal="justify" wrapText="1"/>
      <protection locked="0"/>
    </xf>
    <xf numFmtId="0" fontId="5" fillId="0" borderId="0" xfId="0" applyFont="1" applyBorder="1" applyProtection="1"/>
    <xf numFmtId="0" fontId="5" fillId="0" borderId="0" xfId="0" quotePrefix="1" applyNumberFormat="1" applyFont="1" applyBorder="1" applyProtection="1"/>
    <xf numFmtId="0" fontId="16" fillId="0" borderId="0" xfId="0" applyFont="1" applyBorder="1" applyProtection="1"/>
    <xf numFmtId="0" fontId="5" fillId="0" borderId="68" xfId="0" applyFont="1" applyBorder="1" applyAlignment="1" applyProtection="1">
      <alignment horizontal="left"/>
    </xf>
    <xf numFmtId="0" fontId="16" fillId="0" borderId="0" xfId="0" applyFont="1" applyBorder="1"/>
    <xf numFmtId="0" fontId="10" fillId="0" borderId="0" xfId="0" applyFont="1" applyProtection="1"/>
    <xf numFmtId="0" fontId="10" fillId="0" borderId="0" xfId="0" applyFont="1" applyProtection="1">
      <protection hidden="1"/>
    </xf>
    <xf numFmtId="0" fontId="16" fillId="0" borderId="0" xfId="36" applyFont="1" applyAlignment="1" applyProtection="1">
      <protection hidden="1"/>
    </xf>
    <xf numFmtId="0" fontId="44" fillId="0" borderId="0" xfId="36" applyFont="1" applyAlignment="1" applyProtection="1">
      <protection hidden="1"/>
    </xf>
    <xf numFmtId="0" fontId="16" fillId="0" borderId="0" xfId="0" applyFont="1" applyProtection="1">
      <protection locked="0" hidden="1"/>
    </xf>
    <xf numFmtId="0" fontId="16" fillId="0" borderId="0" xfId="0" applyFont="1" applyProtection="1">
      <protection locked="0"/>
    </xf>
    <xf numFmtId="0" fontId="44" fillId="0" borderId="0" xfId="36" applyFont="1" applyAlignment="1" applyProtection="1">
      <protection locked="0" hidden="1"/>
    </xf>
    <xf numFmtId="0" fontId="16" fillId="0" borderId="0" xfId="0" applyFont="1" applyFill="1" applyProtection="1"/>
    <xf numFmtId="0" fontId="6" fillId="0" borderId="11" xfId="0" applyFont="1" applyBorder="1" applyProtection="1"/>
    <xf numFmtId="0" fontId="7" fillId="0" borderId="27" xfId="0" applyFont="1" applyBorder="1" applyProtection="1"/>
    <xf numFmtId="0" fontId="10" fillId="0" borderId="0" xfId="0" applyNumberFormat="1" applyFont="1" applyFill="1" applyBorder="1" applyProtection="1"/>
    <xf numFmtId="9" fontId="7" fillId="0" borderId="29" xfId="0" applyNumberFormat="1" applyFont="1" applyBorder="1"/>
    <xf numFmtId="0" fontId="36" fillId="0" borderId="0" xfId="0" applyFont="1"/>
    <xf numFmtId="0" fontId="36" fillId="0" borderId="0" xfId="0" applyFont="1" applyProtection="1"/>
    <xf numFmtId="0" fontId="0" fillId="0" borderId="0" xfId="0" applyFont="1" applyProtection="1"/>
    <xf numFmtId="0" fontId="2" fillId="0" borderId="0" xfId="0" applyFont="1" applyAlignment="1">
      <alignment horizontal="left"/>
    </xf>
    <xf numFmtId="0" fontId="7" fillId="0" borderId="19" xfId="0" applyFont="1" applyFill="1" applyBorder="1" applyAlignment="1">
      <alignment horizontal="center" vertical="center" wrapText="1"/>
    </xf>
    <xf numFmtId="0" fontId="7" fillId="0" borderId="39" xfId="0" applyFont="1" applyFill="1" applyBorder="1" applyAlignment="1">
      <alignment vertical="center" wrapText="1"/>
    </xf>
    <xf numFmtId="173" fontId="6" fillId="0" borderId="39" xfId="0" applyNumberFormat="1" applyFont="1" applyBorder="1"/>
    <xf numFmtId="0" fontId="7" fillId="0" borderId="30"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38" xfId="0" applyFont="1" applyFill="1" applyBorder="1" applyAlignment="1">
      <alignment vertical="center" wrapText="1"/>
    </xf>
    <xf numFmtId="0" fontId="7" fillId="0" borderId="19" xfId="0" applyFont="1" applyFill="1" applyBorder="1" applyAlignment="1">
      <alignment horizontal="left"/>
    </xf>
    <xf numFmtId="14" fontId="0" fillId="0" borderId="0" xfId="0" applyNumberFormat="1" applyProtection="1">
      <protection locked="0"/>
    </xf>
    <xf numFmtId="15" fontId="0" fillId="0" borderId="0" xfId="0" applyNumberFormat="1" applyProtection="1">
      <protection locked="0"/>
    </xf>
    <xf numFmtId="2" fontId="6" fillId="0" borderId="36" xfId="0" applyNumberFormat="1" applyFont="1" applyBorder="1"/>
    <xf numFmtId="9" fontId="7" fillId="0" borderId="49" xfId="42" applyFont="1" applyFill="1" applyBorder="1" applyAlignment="1">
      <alignment horizontal="center" vertical="center" wrapText="1"/>
    </xf>
    <xf numFmtId="9" fontId="7" fillId="0" borderId="51" xfId="42" applyFont="1" applyFill="1" applyBorder="1" applyAlignment="1">
      <alignment horizontal="center" vertical="center"/>
    </xf>
    <xf numFmtId="169" fontId="7" fillId="0" borderId="46" xfId="42" applyNumberFormat="1" applyFont="1" applyFill="1" applyBorder="1" applyAlignment="1">
      <alignment horizontal="center" wrapText="1"/>
    </xf>
    <xf numFmtId="169" fontId="6" fillId="0" borderId="49" xfId="42" applyNumberFormat="1" applyFont="1" applyFill="1" applyBorder="1" applyAlignment="1">
      <alignment horizontal="center" vertical="top" wrapText="1"/>
    </xf>
    <xf numFmtId="169" fontId="7" fillId="0" borderId="49" xfId="42" applyNumberFormat="1" applyFont="1" applyFill="1" applyBorder="1" applyAlignment="1">
      <alignment horizontal="center" vertical="top" wrapText="1"/>
    </xf>
    <xf numFmtId="169" fontId="7" fillId="0" borderId="47" xfId="42" applyNumberFormat="1" applyFont="1" applyFill="1" applyBorder="1" applyAlignment="1">
      <alignment horizontal="center" vertical="top" wrapText="1"/>
    </xf>
    <xf numFmtId="169" fontId="7" fillId="0" borderId="56" xfId="42" applyNumberFormat="1" applyFont="1" applyFill="1" applyBorder="1" applyAlignment="1">
      <alignment horizontal="center" vertical="top" wrapText="1"/>
    </xf>
    <xf numFmtId="0" fontId="7" fillId="0" borderId="0" xfId="0" applyFont="1" applyFill="1" applyBorder="1" applyAlignment="1">
      <alignment wrapText="1"/>
    </xf>
    <xf numFmtId="173" fontId="6" fillId="0" borderId="11" xfId="0" applyNumberFormat="1" applyFont="1" applyBorder="1"/>
    <xf numFmtId="173" fontId="7" fillId="0" borderId="11" xfId="0" applyNumberFormat="1" applyFont="1" applyBorder="1"/>
    <xf numFmtId="173" fontId="7" fillId="0" borderId="28" xfId="0" applyNumberFormat="1" applyFont="1" applyFill="1" applyBorder="1"/>
    <xf numFmtId="0" fontId="0" fillId="0" borderId="0" xfId="0" applyFill="1"/>
    <xf numFmtId="49" fontId="16" fillId="0" borderId="68" xfId="0" applyNumberFormat="1" applyFont="1" applyBorder="1" applyAlignment="1" applyProtection="1">
      <alignment horizontal="justify" wrapText="1"/>
    </xf>
    <xf numFmtId="49" fontId="16" fillId="32" borderId="18" xfId="0" applyNumberFormat="1" applyFont="1" applyFill="1" applyBorder="1" applyAlignment="1" applyProtection="1">
      <alignment horizontal="justify" wrapText="1"/>
      <protection locked="0"/>
    </xf>
    <xf numFmtId="0" fontId="1" fillId="0" borderId="0" xfId="0" applyFont="1" applyProtection="1">
      <protection hidden="1"/>
    </xf>
    <xf numFmtId="0" fontId="1" fillId="0" borderId="0" xfId="0" applyFont="1" applyProtection="1"/>
    <xf numFmtId="0" fontId="45" fillId="0" borderId="0" xfId="0" applyFont="1" applyAlignment="1">
      <alignment wrapText="1"/>
    </xf>
    <xf numFmtId="0" fontId="1" fillId="0" borderId="0" xfId="0" applyFont="1"/>
    <xf numFmtId="0" fontId="35" fillId="0" borderId="0" xfId="0" applyFont="1" applyProtection="1"/>
    <xf numFmtId="0" fontId="35" fillId="0" borderId="0" xfId="0" quotePrefix="1" applyNumberFormat="1" applyFont="1" applyProtection="1"/>
    <xf numFmtId="0" fontId="1" fillId="0" borderId="0" xfId="0" applyFont="1" applyBorder="1" applyProtection="1">
      <protection hidden="1"/>
    </xf>
    <xf numFmtId="0" fontId="35" fillId="0" borderId="0" xfId="0" applyFont="1" applyBorder="1" applyProtection="1"/>
    <xf numFmtId="0" fontId="35" fillId="0" borderId="0" xfId="0" quotePrefix="1" applyNumberFormat="1" applyFont="1" applyBorder="1" applyProtection="1"/>
    <xf numFmtId="0" fontId="1" fillId="0" borderId="0" xfId="0" applyFont="1" applyBorder="1" applyProtection="1"/>
    <xf numFmtId="0" fontId="0" fillId="0" borderId="0" xfId="0" applyBorder="1" applyProtection="1"/>
    <xf numFmtId="0" fontId="1" fillId="0" borderId="0" xfId="0" applyFont="1" applyBorder="1"/>
    <xf numFmtId="0" fontId="37" fillId="0" borderId="0" xfId="0" applyFont="1" applyProtection="1">
      <protection hidden="1"/>
    </xf>
    <xf numFmtId="0" fontId="37" fillId="0" borderId="0" xfId="0" applyFont="1" applyProtection="1"/>
    <xf numFmtId="0" fontId="0" fillId="0" borderId="0" xfId="0" applyProtection="1">
      <protection hidden="1"/>
    </xf>
    <xf numFmtId="0" fontId="1" fillId="0" borderId="0" xfId="0" applyFont="1" applyProtection="1">
      <protection locked="0" hidden="1"/>
    </xf>
    <xf numFmtId="0" fontId="1" fillId="0" borderId="0" xfId="0" applyFont="1" applyProtection="1">
      <protection locked="0"/>
    </xf>
    <xf numFmtId="49" fontId="16" fillId="0" borderId="0" xfId="0" applyNumberFormat="1" applyFont="1" applyFill="1" applyBorder="1" applyAlignment="1" applyProtection="1">
      <alignment horizontal="justify" wrapText="1"/>
    </xf>
    <xf numFmtId="49" fontId="16" fillId="0" borderId="0" xfId="0" applyNumberFormat="1" applyFont="1" applyFill="1" applyBorder="1" applyAlignment="1" applyProtection="1">
      <alignment horizontal="justify" wrapText="1"/>
      <protection locked="0"/>
    </xf>
    <xf numFmtId="0" fontId="6" fillId="0" borderId="11" xfId="0" applyNumberFormat="1" applyFont="1" applyBorder="1" applyAlignment="1">
      <alignment horizontal="left" wrapText="1" indent="1"/>
    </xf>
    <xf numFmtId="0" fontId="6" fillId="0" borderId="11" xfId="0" applyNumberFormat="1" applyFont="1" applyFill="1" applyBorder="1"/>
    <xf numFmtId="0" fontId="9" fillId="0" borderId="11" xfId="0" applyNumberFormat="1" applyFont="1" applyFill="1" applyBorder="1"/>
    <xf numFmtId="173" fontId="7" fillId="0" borderId="54" xfId="0" applyNumberFormat="1" applyFont="1" applyFill="1" applyBorder="1"/>
    <xf numFmtId="173" fontId="7" fillId="0" borderId="62" xfId="0" applyNumberFormat="1" applyFont="1" applyFill="1" applyBorder="1"/>
    <xf numFmtId="173" fontId="7" fillId="0" borderId="36" xfId="0" applyNumberFormat="1" applyFont="1" applyFill="1" applyBorder="1"/>
    <xf numFmtId="173" fontId="7" fillId="0" borderId="51" xfId="0" applyNumberFormat="1" applyFont="1" applyFill="1" applyBorder="1"/>
    <xf numFmtId="0" fontId="1" fillId="0" borderId="0" xfId="0" applyNumberFormat="1" applyFont="1" applyProtection="1"/>
    <xf numFmtId="0" fontId="1" fillId="0" borderId="0" xfId="0" applyFont="1" applyAlignment="1" applyProtection="1">
      <alignment vertical="center"/>
    </xf>
    <xf numFmtId="0" fontId="1" fillId="0" borderId="0" xfId="0" applyFont="1" applyFill="1"/>
    <xf numFmtId="9" fontId="6" fillId="0" borderId="22" xfId="42" applyFont="1" applyFill="1" applyBorder="1" applyAlignment="1" applyProtection="1">
      <alignment horizontal="center"/>
    </xf>
    <xf numFmtId="0" fontId="7" fillId="0" borderId="79"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6" fillId="32" borderId="22" xfId="0" applyNumberFormat="1" applyFont="1" applyFill="1" applyBorder="1" applyAlignment="1" applyProtection="1">
      <alignment horizontal="center"/>
      <protection locked="0"/>
    </xf>
    <xf numFmtId="0" fontId="6" fillId="32" borderId="37" xfId="0" applyNumberFormat="1" applyFont="1" applyFill="1" applyBorder="1" applyAlignment="1" applyProtection="1">
      <alignment horizontal="center"/>
      <protection locked="0"/>
    </xf>
    <xf numFmtId="177" fontId="6" fillId="32" borderId="46" xfId="0" applyNumberFormat="1" applyFont="1" applyFill="1" applyBorder="1" applyAlignment="1" applyProtection="1">
      <alignment horizontal="center"/>
      <protection locked="0"/>
    </xf>
    <xf numFmtId="173" fontId="6" fillId="32" borderId="26" xfId="0" applyNumberFormat="1" applyFont="1" applyFill="1" applyBorder="1" applyAlignment="1" applyProtection="1">
      <protection locked="0"/>
    </xf>
    <xf numFmtId="173" fontId="6" fillId="32" borderId="45" xfId="0" applyNumberFormat="1" applyFont="1" applyFill="1" applyBorder="1" applyAlignment="1" applyProtection="1">
      <protection locked="0"/>
    </xf>
    <xf numFmtId="173" fontId="6" fillId="32" borderId="22" xfId="0" applyNumberFormat="1" applyFont="1" applyFill="1" applyBorder="1" applyAlignment="1" applyProtection="1">
      <protection locked="0"/>
    </xf>
    <xf numFmtId="173" fontId="7" fillId="0" borderId="46" xfId="0" applyNumberFormat="1" applyFont="1" applyBorder="1" applyAlignment="1" applyProtection="1"/>
    <xf numFmtId="0" fontId="6" fillId="0" borderId="78" xfId="0" applyNumberFormat="1" applyFont="1" applyBorder="1" applyAlignment="1">
      <alignment horizontal="center"/>
    </xf>
    <xf numFmtId="177" fontId="6" fillId="0" borderId="49" xfId="0" applyNumberFormat="1" applyFont="1" applyBorder="1" applyAlignment="1">
      <alignment horizontal="center"/>
    </xf>
    <xf numFmtId="173" fontId="7" fillId="0" borderId="52" xfId="0" applyNumberFormat="1" applyFont="1" applyBorder="1" applyAlignment="1"/>
    <xf numFmtId="173" fontId="7" fillId="0" borderId="60" xfId="0" applyNumberFormat="1" applyFont="1" applyBorder="1" applyAlignment="1"/>
    <xf numFmtId="173" fontId="7" fillId="0" borderId="43" xfId="0" applyNumberFormat="1" applyFont="1" applyBorder="1" applyAlignment="1"/>
    <xf numFmtId="173" fontId="7" fillId="0" borderId="49" xfId="0" applyNumberFormat="1" applyFont="1" applyBorder="1" applyAlignment="1"/>
    <xf numFmtId="0" fontId="6" fillId="0" borderId="37" xfId="0" applyNumberFormat="1" applyFont="1" applyBorder="1" applyAlignment="1">
      <alignment horizontal="center"/>
    </xf>
    <xf numFmtId="177" fontId="6" fillId="0" borderId="46" xfId="0" applyNumberFormat="1" applyFont="1" applyBorder="1" applyAlignment="1">
      <alignment horizontal="center"/>
    </xf>
    <xf numFmtId="173" fontId="6" fillId="0" borderId="26" xfId="0" applyNumberFormat="1" applyFont="1" applyBorder="1" applyAlignment="1"/>
    <xf numFmtId="173" fontId="6" fillId="0" borderId="45" xfId="0" applyNumberFormat="1" applyFont="1" applyBorder="1" applyAlignment="1"/>
    <xf numFmtId="173" fontId="6" fillId="0" borderId="22" xfId="0" applyNumberFormat="1" applyFont="1" applyBorder="1" applyAlignment="1"/>
    <xf numFmtId="173" fontId="6" fillId="0" borderId="46" xfId="0" applyNumberFormat="1" applyFont="1" applyBorder="1" applyAlignment="1"/>
    <xf numFmtId="0" fontId="6" fillId="0" borderId="52" xfId="0" applyNumberFormat="1" applyFont="1" applyBorder="1" applyAlignment="1">
      <alignment horizontal="center"/>
    </xf>
    <xf numFmtId="173" fontId="7" fillId="0" borderId="26" xfId="0" applyNumberFormat="1" applyFont="1" applyBorder="1" applyAlignment="1"/>
    <xf numFmtId="173" fontId="7" fillId="0" borderId="45" xfId="0" applyNumberFormat="1" applyFont="1" applyBorder="1" applyAlignment="1"/>
    <xf numFmtId="173" fontId="7" fillId="0" borderId="22" xfId="0" applyNumberFormat="1" applyFont="1" applyBorder="1" applyAlignment="1"/>
    <xf numFmtId="173" fontId="7" fillId="0" borderId="46" xfId="0" applyNumberFormat="1" applyFont="1" applyBorder="1" applyAlignment="1"/>
    <xf numFmtId="0" fontId="6" fillId="0" borderId="24" xfId="0" applyNumberFormat="1" applyFont="1" applyBorder="1" applyAlignment="1">
      <alignment horizontal="center"/>
    </xf>
    <xf numFmtId="0" fontId="6" fillId="0" borderId="69" xfId="0" applyNumberFormat="1" applyFont="1" applyBorder="1" applyAlignment="1">
      <alignment horizontal="center"/>
    </xf>
    <xf numFmtId="177" fontId="6" fillId="0" borderId="50" xfId="0" applyNumberFormat="1" applyFont="1" applyBorder="1" applyAlignment="1">
      <alignment horizontal="center"/>
    </xf>
    <xf numFmtId="173" fontId="7" fillId="0" borderId="30" xfId="0" applyNumberFormat="1" applyFont="1" applyBorder="1" applyAlignment="1"/>
    <xf numFmtId="173" fontId="7" fillId="0" borderId="64" xfId="0" applyNumberFormat="1" applyFont="1" applyBorder="1" applyAlignment="1"/>
    <xf numFmtId="173" fontId="7" fillId="0" borderId="29" xfId="0" applyNumberFormat="1" applyFont="1" applyBorder="1" applyAlignment="1"/>
    <xf numFmtId="173" fontId="7" fillId="0" borderId="56" xfId="0" applyNumberFormat="1" applyFont="1" applyBorder="1" applyAlignment="1"/>
    <xf numFmtId="173" fontId="6" fillId="0" borderId="10" xfId="0" applyNumberFormat="1" applyFont="1" applyFill="1" applyBorder="1" applyAlignment="1" applyProtection="1">
      <alignment horizontal="left" vertical="top" wrapText="1" indent="1"/>
    </xf>
    <xf numFmtId="173" fontId="6" fillId="0" borderId="26" xfId="0" applyNumberFormat="1" applyFont="1" applyFill="1" applyBorder="1" applyAlignment="1" applyProtection="1">
      <alignment horizontal="left" vertical="top" wrapText="1" indent="1"/>
    </xf>
    <xf numFmtId="173" fontId="6" fillId="0" borderId="22" xfId="0" applyNumberFormat="1" applyFont="1" applyFill="1" applyBorder="1" applyAlignment="1" applyProtection="1">
      <alignment horizontal="left" vertical="top" wrapText="1" indent="1"/>
    </xf>
    <xf numFmtId="173" fontId="6" fillId="0" borderId="37" xfId="0" applyNumberFormat="1" applyFont="1" applyFill="1" applyBorder="1" applyAlignment="1" applyProtection="1">
      <alignment horizontal="left" vertical="top" wrapText="1" indent="1"/>
    </xf>
    <xf numFmtId="174" fontId="6" fillId="0" borderId="22" xfId="42" applyNumberFormat="1" applyFont="1" applyBorder="1" applyAlignment="1">
      <alignment horizontal="left" vertical="top" wrapText="1" indent="1"/>
    </xf>
    <xf numFmtId="173" fontId="6" fillId="0" borderId="46" xfId="0" applyNumberFormat="1" applyFont="1" applyFill="1" applyBorder="1" applyAlignment="1" applyProtection="1">
      <alignment horizontal="left" vertical="top" wrapText="1" indent="1"/>
    </xf>
    <xf numFmtId="0" fontId="6" fillId="0" borderId="0" xfId="0" applyFont="1" applyAlignment="1">
      <alignment horizontal="left" vertical="top" wrapText="1" indent="1"/>
    </xf>
    <xf numFmtId="0" fontId="6" fillId="34" borderId="10" xfId="0" applyNumberFormat="1" applyFont="1" applyFill="1" applyBorder="1" applyAlignment="1">
      <alignment horizontal="left" vertical="top" wrapText="1" indent="1"/>
    </xf>
    <xf numFmtId="0" fontId="6" fillId="0" borderId="10" xfId="0" applyNumberFormat="1" applyFont="1" applyFill="1" applyBorder="1" applyAlignment="1">
      <alignment horizontal="left" vertical="top" wrapText="1" indent="1"/>
    </xf>
    <xf numFmtId="0" fontId="6" fillId="34" borderId="11" xfId="0" applyFont="1" applyFill="1" applyBorder="1" applyAlignment="1">
      <alignment horizontal="left" indent="1"/>
    </xf>
    <xf numFmtId="0" fontId="6" fillId="34" borderId="11" xfId="0" applyFont="1" applyFill="1" applyBorder="1" applyAlignment="1">
      <alignment horizontal="left" vertical="top" wrapText="1" indent="2"/>
    </xf>
    <xf numFmtId="0" fontId="6" fillId="35" borderId="11" xfId="0" applyFont="1" applyFill="1" applyBorder="1" applyAlignment="1">
      <alignment horizontal="left" indent="1"/>
    </xf>
    <xf numFmtId="0" fontId="6" fillId="35" borderId="11" xfId="0" applyFont="1" applyFill="1" applyBorder="1" applyAlignment="1">
      <alignment horizontal="left" vertical="top" wrapText="1" indent="1"/>
    </xf>
    <xf numFmtId="170" fontId="6" fillId="0" borderId="10" xfId="0" applyNumberFormat="1" applyFont="1" applyBorder="1" applyAlignment="1">
      <alignment horizontal="left" vertical="top" wrapText="1" indent="1"/>
    </xf>
    <xf numFmtId="173" fontId="6" fillId="32" borderId="45" xfId="0" applyNumberFormat="1" applyFont="1" applyFill="1" applyBorder="1" applyAlignment="1" applyProtection="1">
      <alignment horizontal="left" vertical="top" wrapText="1" indent="1"/>
      <protection locked="0"/>
    </xf>
    <xf numFmtId="173" fontId="6" fillId="32" borderId="22" xfId="0" applyNumberFormat="1" applyFont="1" applyFill="1" applyBorder="1" applyAlignment="1" applyProtection="1">
      <alignment horizontal="left" vertical="top" wrapText="1" indent="1"/>
      <protection locked="0"/>
    </xf>
    <xf numFmtId="173" fontId="6" fillId="0" borderId="37" xfId="0" applyNumberFormat="1" applyFont="1" applyBorder="1" applyAlignment="1">
      <alignment horizontal="left" vertical="top" wrapText="1" indent="1"/>
    </xf>
    <xf numFmtId="173" fontId="6" fillId="32" borderId="26" xfId="0" applyNumberFormat="1" applyFont="1" applyFill="1" applyBorder="1" applyAlignment="1" applyProtection="1">
      <alignment horizontal="left" vertical="top" wrapText="1" indent="1"/>
      <protection locked="0"/>
    </xf>
    <xf numFmtId="173" fontId="6" fillId="32" borderId="46" xfId="0" applyNumberFormat="1" applyFont="1" applyFill="1" applyBorder="1" applyAlignment="1" applyProtection="1">
      <alignment horizontal="left" vertical="top" wrapText="1" indent="1"/>
      <protection locked="0"/>
    </xf>
    <xf numFmtId="173" fontId="6" fillId="32" borderId="37" xfId="0" applyNumberFormat="1" applyFont="1" applyFill="1" applyBorder="1" applyAlignment="1" applyProtection="1">
      <alignment horizontal="center"/>
      <protection locked="0"/>
    </xf>
    <xf numFmtId="164" fontId="6" fillId="32" borderId="22" xfId="0" applyNumberFormat="1" applyFont="1" applyFill="1" applyBorder="1" applyProtection="1">
      <protection locked="0"/>
    </xf>
    <xf numFmtId="0" fontId="6" fillId="32" borderId="11" xfId="0" applyNumberFormat="1" applyFont="1" applyFill="1" applyBorder="1" applyAlignment="1" applyProtection="1">
      <alignment horizontal="left" indent="2"/>
      <protection locked="0"/>
    </xf>
    <xf numFmtId="0" fontId="3" fillId="30" borderId="68" xfId="0" applyFont="1" applyFill="1" applyBorder="1" applyAlignment="1">
      <alignment horizontal="center"/>
    </xf>
    <xf numFmtId="0" fontId="3" fillId="30" borderId="71" xfId="0" applyFont="1" applyFill="1" applyBorder="1" applyAlignment="1">
      <alignment horizontal="center"/>
    </xf>
    <xf numFmtId="0" fontId="3" fillId="30" borderId="18" xfId="0" applyFont="1" applyFill="1" applyBorder="1" applyAlignment="1">
      <alignment horizontal="center"/>
    </xf>
    <xf numFmtId="0" fontId="3" fillId="24" borderId="68" xfId="0" applyFont="1" applyFill="1" applyBorder="1" applyAlignment="1">
      <alignment horizontal="center"/>
    </xf>
    <xf numFmtId="0" fontId="3" fillId="24" borderId="71" xfId="0" applyFont="1" applyFill="1" applyBorder="1" applyAlignment="1">
      <alignment horizontal="center"/>
    </xf>
    <xf numFmtId="0" fontId="3" fillId="31" borderId="68" xfId="0" applyFont="1" applyFill="1" applyBorder="1" applyAlignment="1">
      <alignment horizontal="center"/>
    </xf>
    <xf numFmtId="0" fontId="3" fillId="31" borderId="71" xfId="0" applyFont="1" applyFill="1" applyBorder="1" applyAlignment="1">
      <alignment horizontal="center"/>
    </xf>
    <xf numFmtId="0" fontId="3" fillId="31" borderId="18" xfId="0" applyFont="1" applyFill="1" applyBorder="1" applyAlignment="1">
      <alignment horizontal="center"/>
    </xf>
    <xf numFmtId="0" fontId="5" fillId="0" borderId="85" xfId="0" applyFont="1" applyBorder="1" applyAlignment="1" applyProtection="1">
      <alignment horizontal="justify" wrapText="1"/>
    </xf>
    <xf numFmtId="0" fontId="5" fillId="0" borderId="86" xfId="0" applyFont="1" applyBorder="1" applyAlignment="1" applyProtection="1">
      <alignment horizontal="justify" wrapText="1"/>
    </xf>
    <xf numFmtId="0" fontId="5" fillId="0" borderId="68" xfId="0" applyFont="1" applyBorder="1" applyAlignment="1" applyProtection="1">
      <alignment horizontal="justify" wrapText="1"/>
    </xf>
    <xf numFmtId="0" fontId="5" fillId="0" borderId="18" xfId="0" applyFont="1" applyBorder="1" applyAlignment="1" applyProtection="1">
      <alignment horizontal="justify" wrapText="1"/>
    </xf>
    <xf numFmtId="49" fontId="5" fillId="0" borderId="68" xfId="0" applyNumberFormat="1" applyFont="1" applyBorder="1" applyAlignment="1" applyProtection="1">
      <alignment horizontal="justify" wrapText="1"/>
    </xf>
    <xf numFmtId="49" fontId="16" fillId="0" borderId="18" xfId="0" applyNumberFormat="1" applyFont="1" applyBorder="1" applyAlignment="1">
      <alignment horizontal="justify" wrapText="1"/>
    </xf>
    <xf numFmtId="0" fontId="16" fillId="0" borderId="86" xfId="0" applyFont="1" applyBorder="1" applyAlignment="1">
      <alignment horizontal="justify" wrapText="1"/>
    </xf>
    <xf numFmtId="0" fontId="16" fillId="0" borderId="18" xfId="0" applyFont="1" applyBorder="1" applyAlignment="1">
      <alignment horizontal="justify" wrapText="1"/>
    </xf>
    <xf numFmtId="0" fontId="42" fillId="0" borderId="87" xfId="0" applyFont="1" applyBorder="1" applyAlignment="1" applyProtection="1">
      <alignment horizontal="justify" vertical="center" wrapText="1"/>
    </xf>
    <xf numFmtId="0" fontId="42" fillId="0" borderId="88" xfId="0" applyFont="1" applyBorder="1" applyAlignment="1" applyProtection="1">
      <alignment horizontal="justify" vertical="center" wrapText="1"/>
    </xf>
    <xf numFmtId="0" fontId="5" fillId="0" borderId="87" xfId="0" applyFont="1" applyBorder="1" applyAlignment="1" applyProtection="1">
      <alignment horizontal="justify" vertical="center" wrapText="1"/>
    </xf>
    <xf numFmtId="0" fontId="5" fillId="0" borderId="88" xfId="0" applyFont="1" applyBorder="1" applyAlignment="1" applyProtection="1">
      <alignment horizontal="justify" vertical="center" wrapText="1"/>
    </xf>
    <xf numFmtId="0" fontId="5" fillId="0" borderId="0" xfId="0" applyFont="1" applyBorder="1" applyAlignment="1" applyProtection="1">
      <alignment horizontal="justify" vertical="top" wrapText="1"/>
    </xf>
    <xf numFmtId="0" fontId="10" fillId="0" borderId="0"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16" fillId="0" borderId="0" xfId="0" applyFont="1" applyBorder="1" applyAlignment="1" applyProtection="1">
      <alignment horizontal="justify" vertical="top" wrapText="1"/>
    </xf>
    <xf numFmtId="0" fontId="42" fillId="0" borderId="89" xfId="0" applyFont="1" applyBorder="1" applyAlignment="1" applyProtection="1">
      <alignment horizontal="justify" vertical="center" wrapText="1"/>
    </xf>
    <xf numFmtId="0" fontId="43" fillId="0" borderId="89" xfId="0" applyFont="1" applyBorder="1" applyAlignment="1">
      <alignment horizontal="justify" vertical="center" wrapText="1"/>
    </xf>
    <xf numFmtId="0" fontId="42" fillId="0" borderId="87" xfId="0" applyFont="1" applyBorder="1" applyAlignment="1" applyProtection="1">
      <alignment horizontal="justify" vertical="center"/>
    </xf>
    <xf numFmtId="0" fontId="16" fillId="0" borderId="88" xfId="0" applyFont="1" applyBorder="1" applyAlignment="1">
      <alignment horizontal="justify" vertical="center"/>
    </xf>
    <xf numFmtId="0" fontId="16" fillId="0" borderId="88" xfId="0" applyFont="1" applyBorder="1" applyAlignment="1">
      <alignment horizontal="justify" vertical="center" wrapText="1"/>
    </xf>
    <xf numFmtId="49" fontId="5" fillId="0" borderId="0" xfId="0" applyNumberFormat="1" applyFont="1" applyFill="1" applyBorder="1" applyAlignment="1" applyProtection="1">
      <alignment horizontal="justify" wrapText="1"/>
    </xf>
    <xf numFmtId="49" fontId="16" fillId="0" borderId="0" xfId="0" applyNumberFormat="1" applyFont="1" applyFill="1" applyBorder="1" applyAlignment="1">
      <alignment horizontal="justify" wrapText="1"/>
    </xf>
    <xf numFmtId="0" fontId="10" fillId="0" borderId="0" xfId="0" applyFont="1" applyFill="1" applyAlignment="1">
      <alignment horizontal="left" wrapText="1"/>
    </xf>
    <xf numFmtId="0" fontId="7" fillId="0" borderId="39" xfId="0" applyFont="1" applyFill="1" applyBorder="1" applyAlignment="1">
      <alignment horizontal="center" vertical="center"/>
    </xf>
    <xf numFmtId="0" fontId="38" fillId="0" borderId="10" xfId="0" applyFont="1" applyBorder="1"/>
    <xf numFmtId="0" fontId="7" fillId="0" borderId="9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1" xfId="0" applyFont="1" applyFill="1" applyBorder="1" applyAlignment="1">
      <alignment horizontal="center" vertical="center"/>
    </xf>
    <xf numFmtId="0" fontId="5" fillId="0" borderId="14" xfId="0" applyFont="1" applyFill="1" applyBorder="1" applyAlignment="1">
      <alignment horizontal="left" wrapText="1"/>
    </xf>
    <xf numFmtId="0" fontId="10" fillId="0" borderId="0" xfId="0" applyFont="1" applyFill="1" applyBorder="1" applyAlignment="1" applyProtection="1">
      <alignment horizontal="left" vertical="top" wrapText="1"/>
    </xf>
    <xf numFmtId="0" fontId="7" fillId="0" borderId="10" xfId="0" applyFont="1" applyFill="1" applyBorder="1" applyAlignment="1">
      <alignment horizontal="center" vertical="center"/>
    </xf>
    <xf numFmtId="0" fontId="7" fillId="0" borderId="19" xfId="0" applyFont="1" applyFill="1" applyBorder="1" applyAlignment="1">
      <alignment horizontal="center" vertical="center"/>
    </xf>
    <xf numFmtId="0" fontId="7" fillId="24" borderId="68" xfId="0" applyFont="1" applyFill="1" applyBorder="1" applyAlignment="1">
      <alignment horizontal="center" vertical="center" wrapText="1"/>
    </xf>
    <xf numFmtId="0" fontId="38" fillId="0" borderId="71" xfId="0" applyFont="1" applyBorder="1"/>
    <xf numFmtId="0" fontId="38" fillId="0" borderId="18" xfId="0" applyFont="1" applyBorder="1"/>
    <xf numFmtId="0" fontId="7" fillId="0" borderId="53" xfId="0" applyFont="1" applyFill="1" applyBorder="1" applyAlignment="1">
      <alignment horizontal="center" vertical="center"/>
    </xf>
    <xf numFmtId="0" fontId="7" fillId="0" borderId="46" xfId="0" applyFont="1" applyFill="1" applyBorder="1" applyAlignment="1">
      <alignment horizontal="center" vertical="center"/>
    </xf>
    <xf numFmtId="0" fontId="5" fillId="0" borderId="14" xfId="0" applyFont="1" applyFill="1" applyBorder="1" applyAlignment="1">
      <alignment horizontal="left"/>
    </xf>
    <xf numFmtId="0" fontId="10" fillId="0" borderId="0" xfId="0" quotePrefix="1" applyFont="1" applyBorder="1" applyAlignment="1">
      <alignment horizontal="left" wrapText="1"/>
    </xf>
    <xf numFmtId="0" fontId="10" fillId="0" borderId="0" xfId="0" applyFont="1" applyBorder="1" applyAlignment="1">
      <alignment horizontal="left" wrapText="1"/>
    </xf>
    <xf numFmtId="0" fontId="10" fillId="0" borderId="0" xfId="0" applyFont="1" applyBorder="1" applyAlignment="1">
      <alignment wrapText="1"/>
    </xf>
    <xf numFmtId="0" fontId="5" fillId="0" borderId="14" xfId="0" applyFont="1" applyFill="1" applyBorder="1" applyAlignment="1">
      <alignment horizontal="left" vertical="top" wrapText="1"/>
    </xf>
    <xf numFmtId="0" fontId="7" fillId="0" borderId="1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5" fillId="0" borderId="0" xfId="0" applyFont="1" applyFill="1" applyBorder="1" applyAlignment="1">
      <alignment horizontal="left"/>
    </xf>
    <xf numFmtId="0" fontId="7" fillId="0" borderId="90" xfId="0" applyFont="1" applyFill="1" applyBorder="1" applyAlignment="1">
      <alignment horizontal="center" wrapText="1"/>
    </xf>
    <xf numFmtId="0" fontId="7" fillId="0" borderId="41" xfId="0" applyFont="1" applyFill="1" applyBorder="1" applyAlignment="1">
      <alignment horizontal="center" wrapText="1"/>
    </xf>
    <xf numFmtId="0" fontId="7" fillId="0" borderId="20" xfId="0" applyFont="1" applyFill="1" applyBorder="1" applyAlignment="1">
      <alignment horizontal="center" wrapText="1"/>
    </xf>
    <xf numFmtId="0" fontId="6" fillId="0" borderId="3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4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38" fillId="0" borderId="11" xfId="0" applyFont="1" applyBorder="1"/>
    <xf numFmtId="0" fontId="7" fillId="0" borderId="3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74" xfId="0" applyFont="1" applyFill="1" applyBorder="1" applyAlignment="1">
      <alignment horizontal="center" vertical="top" wrapText="1"/>
    </xf>
    <xf numFmtId="0" fontId="7" fillId="0" borderId="73" xfId="0" applyFont="1" applyFill="1" applyBorder="1" applyAlignment="1">
      <alignment horizontal="center" vertical="top" wrapText="1"/>
    </xf>
    <xf numFmtId="0" fontId="7" fillId="0" borderId="79"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57" xfId="0" applyFont="1" applyFill="1" applyBorder="1" applyAlignment="1">
      <alignment horizontal="center" vertical="center" wrapText="1"/>
    </xf>
    <xf numFmtId="3" fontId="16" fillId="32" borderId="18" xfId="0" applyNumberFormat="1" applyFont="1" applyFill="1" applyBorder="1" applyAlignment="1" applyProtection="1">
      <alignment horizontal="justify" wrapText="1"/>
      <protection locked="0"/>
    </xf>
    <xf numFmtId="3" fontId="16" fillId="32" borderId="65" xfId="0" applyNumberFormat="1" applyFont="1" applyFill="1" applyBorder="1" applyAlignment="1" applyProtection="1">
      <alignment horizontal="justify" wrapText="1"/>
      <protection locked="0"/>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B Schedule Municipal Adjustments Budget - 23 March 2009 cb"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_AppA_Muncde_2010" xfId="36"/>
    <cellStyle name="Input" xfId="37" builtinId="20" customBuiltin="1"/>
    <cellStyle name="Linked Cell" xfId="38" builtinId="24" customBuiltin="1"/>
    <cellStyle name="Neutral" xfId="39" builtinId="28" customBuiltin="1"/>
    <cellStyle name="Normal" xfId="0" builtinId="0"/>
    <cellStyle name="Note" xfId="40" builtinId="10" customBuiltin="1"/>
    <cellStyle name="Output" xfId="41" builtinId="21" customBuiltin="1"/>
    <cellStyle name="Percent" xfId="42" builtinId="5"/>
    <cellStyle name="Percent 10 2" xfId="43"/>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6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activeX/activeX7.xml><?xml version="1.0" encoding="utf-8"?>
<ax:ocx xmlns:ax="http://schemas.microsoft.com/office/2006/activeX" xmlns:r="http://schemas.openxmlformats.org/officeDocument/2006/relationships" ax:classid="{8BD21D6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00780031201248"/>
          <c:y val="7.3113291744928033E-2"/>
          <c:w val="0.79875195007800315"/>
          <c:h val="0.71934045103880806"/>
        </c:manualLayout>
      </c:layout>
      <c:bar3DChart>
        <c:barDir val="col"/>
        <c:grouping val="clustered"/>
        <c:varyColors val="0"/>
        <c:ser>
          <c:idx val="0"/>
          <c:order val="0"/>
          <c:tx>
            <c:strRef>
              <c:f>SC71charts!$A$53</c:f>
              <c:strCache>
                <c:ptCount val="1"/>
                <c:pt idx="0">
                  <c:v>Budget Year 2020/21</c:v>
                </c:pt>
              </c:strCache>
            </c:strRef>
          </c:tx>
          <c:spPr>
            <a:solidFill>
              <a:srgbClr val="0000FF"/>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SC71charts!$B$53:$I$53</c:f>
              <c:numCache>
                <c:formatCode>_(* #\ ##0\ _);_(* \(#\ ##0\ \);_(* "–"?_);_(@_)</c:formatCode>
                <c:ptCount val="8"/>
                <c:pt idx="0">
                  <c:v>464684848.15000004</c:v>
                </c:pt>
                <c:pt idx="1">
                  <c:v>159560738.65999997</c:v>
                </c:pt>
                <c:pt idx="2">
                  <c:v>118329687.81000002</c:v>
                </c:pt>
                <c:pt idx="3">
                  <c:v>104982051.19999999</c:v>
                </c:pt>
                <c:pt idx="4">
                  <c:v>120660739.36</c:v>
                </c:pt>
                <c:pt idx="5">
                  <c:v>96137849.939999998</c:v>
                </c:pt>
                <c:pt idx="6">
                  <c:v>475255279.87</c:v>
                </c:pt>
                <c:pt idx="7">
                  <c:v>3232895444.7199998</c:v>
                </c:pt>
              </c:numCache>
            </c:numRef>
          </c:val>
          <c:extLst>
            <c:ext xmlns:c16="http://schemas.microsoft.com/office/drawing/2014/chart" uri="{C3380CC4-5D6E-409C-BE32-E72D297353CC}">
              <c16:uniqueId val="{00000000-1AC1-4CA6-835E-D70612AAED3D}"/>
            </c:ext>
          </c:extLst>
        </c:ser>
        <c:ser>
          <c:idx val="1"/>
          <c:order val="1"/>
          <c:tx>
            <c:strRef>
              <c:f>SC71charts!$A$54</c:f>
              <c:strCache>
                <c:ptCount val="1"/>
                <c:pt idx="0">
                  <c:v>2019/20</c:v>
                </c:pt>
              </c:strCache>
            </c:strRef>
          </c:tx>
          <c:spPr>
            <a:solidFill>
              <a:srgbClr val="FFFF00"/>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SC71charts!$B$54:$I$54</c:f>
              <c:numCache>
                <c:formatCode>_(* #\ ##0\ _);_(* \(#\ ##0\ \);_(* "–"?_);_(@_)</c:formatCode>
                <c:ptCount val="8"/>
                <c:pt idx="0">
                  <c:v>704600774.9000001</c:v>
                </c:pt>
                <c:pt idx="1">
                  <c:v>-4325301.05</c:v>
                </c:pt>
                <c:pt idx="2">
                  <c:v>117682805.63000001</c:v>
                </c:pt>
                <c:pt idx="3">
                  <c:v>101021025.72999999</c:v>
                </c:pt>
                <c:pt idx="4">
                  <c:v>97617113.169999987</c:v>
                </c:pt>
                <c:pt idx="5">
                  <c:v>89416119.010000005</c:v>
                </c:pt>
                <c:pt idx="6">
                  <c:v>534223289.34000003</c:v>
                </c:pt>
                <c:pt idx="7">
                  <c:v>2831952593.4300003</c:v>
                </c:pt>
              </c:numCache>
            </c:numRef>
          </c:val>
          <c:extLst>
            <c:ext xmlns:c16="http://schemas.microsoft.com/office/drawing/2014/chart" uri="{C3380CC4-5D6E-409C-BE32-E72D297353CC}">
              <c16:uniqueId val="{00000001-1AC1-4CA6-835E-D70612AAED3D}"/>
            </c:ext>
          </c:extLst>
        </c:ser>
        <c:dLbls>
          <c:showLegendKey val="0"/>
          <c:showVal val="0"/>
          <c:showCatName val="0"/>
          <c:showSerName val="0"/>
          <c:showPercent val="0"/>
          <c:showBubbleSize val="0"/>
        </c:dLbls>
        <c:gapWidth val="150"/>
        <c:shape val="box"/>
        <c:axId val="332911264"/>
        <c:axId val="1"/>
        <c:axId val="0"/>
      </c:bar3DChart>
      <c:catAx>
        <c:axId val="3329112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Narrow"/>
                    <a:ea typeface="Arial Narrow"/>
                    <a:cs typeface="Arial Narrow"/>
                  </a:defRPr>
                </a:pPr>
                <a:r>
                  <a:rPr lang="en-ZA"/>
                  <a:t>R'000</a:t>
                </a:r>
              </a:p>
            </c:rich>
          </c:tx>
          <c:layout>
            <c:manualLayout>
              <c:xMode val="edge"/>
              <c:yMode val="edge"/>
              <c:x val="0.11232449297971919"/>
              <c:y val="0.39858540088149358"/>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332911264"/>
        <c:crosses val="autoZero"/>
        <c:crossBetween val="between"/>
      </c:valAx>
      <c:dTable>
        <c:showHorzBorder val="1"/>
        <c:showVertBorder val="1"/>
        <c:showOutline val="1"/>
        <c:showKeys val="1"/>
        <c:spPr>
          <a:ln w="3175">
            <a:solidFill>
              <a:srgbClr val="000000"/>
            </a:solidFill>
            <a:prstDash val="solid"/>
          </a:ln>
        </c:spPr>
        <c:txPr>
          <a:bodyPr/>
          <a:lstStyle/>
          <a:p>
            <a:pPr rtl="0">
              <a:defRPr sz="975"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61" l="0.37" r="0.17" t="0.77" header="0.5" footer="0.4"/>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31264901172563"/>
          <c:y val="7.0588235294117646E-2"/>
          <c:w val="0.79843810915993441"/>
          <c:h val="0.76235294117647057"/>
        </c:manualLayout>
      </c:layout>
      <c:bar3DChart>
        <c:barDir val="col"/>
        <c:grouping val="clustered"/>
        <c:varyColors val="0"/>
        <c:ser>
          <c:idx val="0"/>
          <c:order val="0"/>
          <c:tx>
            <c:strRef>
              <c:f>SC71charts!$B$77</c:f>
              <c:strCache>
                <c:ptCount val="1"/>
                <c:pt idx="0">
                  <c:v> 2019/20 </c:v>
                </c:pt>
              </c:strCache>
            </c:strRef>
          </c:tx>
          <c:spPr>
            <a:solidFill>
              <a:srgbClr val="0000FF"/>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SC71charts!$B$78:$B$81</c:f>
              <c:numCache>
                <c:formatCode>_(* #\ ##0\ _);_(* \(#\ ##0\ \);_(* "–"?_);_(@_)</c:formatCode>
                <c:ptCount val="4"/>
                <c:pt idx="0">
                  <c:v>216070331.38149998</c:v>
                </c:pt>
                <c:pt idx="1">
                  <c:v>703333588.90610003</c:v>
                </c:pt>
                <c:pt idx="2">
                  <c:v>3476035056.5186</c:v>
                </c:pt>
                <c:pt idx="3">
                  <c:v>233892463.71250001</c:v>
                </c:pt>
              </c:numCache>
            </c:numRef>
          </c:val>
          <c:extLst>
            <c:ext xmlns:c16="http://schemas.microsoft.com/office/drawing/2014/chart" uri="{C3380CC4-5D6E-409C-BE32-E72D297353CC}">
              <c16:uniqueId val="{00000000-A1C0-41AB-9783-A436A12D100F}"/>
            </c:ext>
          </c:extLst>
        </c:ser>
        <c:ser>
          <c:idx val="1"/>
          <c:order val="1"/>
          <c:tx>
            <c:strRef>
              <c:f>SC71charts!$C$77</c:f>
              <c:strCache>
                <c:ptCount val="1"/>
                <c:pt idx="0">
                  <c:v>Budget Year 2020/21</c:v>
                </c:pt>
              </c:strCache>
            </c:strRef>
          </c:tx>
          <c:spPr>
            <a:solidFill>
              <a:srgbClr val="FFFF00"/>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SC71charts!$C$78:$C$81</c:f>
              <c:numCache>
                <c:formatCode>_(* #\ ##0\ _);_(* \(#\ ##0\ \);_(* "–"?_);_(@_)</c:formatCode>
                <c:ptCount val="4"/>
                <c:pt idx="0">
                  <c:v>222752918.94999999</c:v>
                </c:pt>
                <c:pt idx="1">
                  <c:v>725086174.13</c:v>
                </c:pt>
                <c:pt idx="2">
                  <c:v>3583541295.3800001</c:v>
                </c:pt>
                <c:pt idx="3">
                  <c:v>241126251.25</c:v>
                </c:pt>
              </c:numCache>
            </c:numRef>
          </c:val>
          <c:extLst>
            <c:ext xmlns:c16="http://schemas.microsoft.com/office/drawing/2014/chart" uri="{C3380CC4-5D6E-409C-BE32-E72D297353CC}">
              <c16:uniqueId val="{00000001-A1C0-41AB-9783-A436A12D100F}"/>
            </c:ext>
          </c:extLst>
        </c:ser>
        <c:dLbls>
          <c:showLegendKey val="0"/>
          <c:showVal val="0"/>
          <c:showCatName val="0"/>
          <c:showSerName val="0"/>
          <c:showPercent val="0"/>
          <c:showBubbleSize val="0"/>
        </c:dLbls>
        <c:gapWidth val="150"/>
        <c:shape val="box"/>
        <c:axId val="447510792"/>
        <c:axId val="1"/>
        <c:axId val="0"/>
      </c:bar3DChart>
      <c:catAx>
        <c:axId val="4475107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Narrow"/>
                    <a:ea typeface="Arial Narrow"/>
                    <a:cs typeface="Arial Narrow"/>
                  </a:defRPr>
                </a:pPr>
                <a:r>
                  <a:rPr lang="en-ZA"/>
                  <a:t>R'000</a:t>
                </a:r>
              </a:p>
            </c:rich>
          </c:tx>
          <c:layout>
            <c:manualLayout>
              <c:xMode val="edge"/>
              <c:yMode val="edge"/>
              <c:x val="0.10781266404199474"/>
              <c:y val="0.40470588235294119"/>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47510792"/>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59" l="0.34" r="0.21" t="0.79" header="0.5" footer="0.4"/>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7160686427457097"/>
          <c:y val="7.8014364505680472E-2"/>
          <c:w val="0.82527301092043681"/>
          <c:h val="0.66903227742750215"/>
        </c:manualLayout>
      </c:layout>
      <c:bar3DChart>
        <c:barDir val="col"/>
        <c:grouping val="clustered"/>
        <c:varyColors val="0"/>
        <c:ser>
          <c:idx val="0"/>
          <c:order val="0"/>
          <c:tx>
            <c:strRef>
              <c:f>SC71charts!$A$103</c:f>
              <c:strCache>
                <c:ptCount val="1"/>
                <c:pt idx="0">
                  <c:v>2019/20</c:v>
                </c:pt>
              </c:strCache>
            </c:strRef>
          </c:tx>
          <c:spPr>
            <a:solidFill>
              <a:srgbClr val="0000FF"/>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SC71charts!$B$103:$J$103</c:f>
              <c:numCache>
                <c:formatCode>_(* #\ ##0\ _);_(* \(#\ ##0\ \);_(* "–"?_);_(@_)</c:formatCode>
                <c:ptCount val="9"/>
                <c:pt idx="0">
                  <c:v>304985824.36000001</c:v>
                </c:pt>
                <c:pt idx="1">
                  <c:v>88291134.840000004</c:v>
                </c:pt>
                <c:pt idx="2">
                  <c:v>0</c:v>
                </c:pt>
                <c:pt idx="3">
                  <c:v>152808254.80000001</c:v>
                </c:pt>
                <c:pt idx="4">
                  <c:v>0</c:v>
                </c:pt>
                <c:pt idx="5">
                  <c:v>0</c:v>
                </c:pt>
                <c:pt idx="6">
                  <c:v>49431901.299999982</c:v>
                </c:pt>
                <c:pt idx="7">
                  <c:v>0</c:v>
                </c:pt>
                <c:pt idx="8">
                  <c:v>227312122.72999999</c:v>
                </c:pt>
              </c:numCache>
            </c:numRef>
          </c:val>
          <c:extLst>
            <c:ext xmlns:c16="http://schemas.microsoft.com/office/drawing/2014/chart" uri="{C3380CC4-5D6E-409C-BE32-E72D297353CC}">
              <c16:uniqueId val="{00000000-F3B9-4F8D-A90A-9F89963A321F}"/>
            </c:ext>
          </c:extLst>
        </c:ser>
        <c:ser>
          <c:idx val="1"/>
          <c:order val="1"/>
          <c:tx>
            <c:strRef>
              <c:f>SC71charts!$A$104</c:f>
              <c:strCache>
                <c:ptCount val="1"/>
                <c:pt idx="0">
                  <c:v>Budget Year 2020/21</c:v>
                </c:pt>
              </c:strCache>
            </c:strRef>
          </c:tx>
          <c:spPr>
            <a:solidFill>
              <a:srgbClr val="FFFF00"/>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SC71charts!$B$104:$J$104</c:f>
              <c:numCache>
                <c:formatCode>_(* #\ ##0\ _);_(* \(#\ ##0\ \);_(* "–"?_);_(@_)</c:formatCode>
                <c:ptCount val="9"/>
                <c:pt idx="0">
                  <c:v>198122216.74000001</c:v>
                </c:pt>
                <c:pt idx="1">
                  <c:v>269304647.73000002</c:v>
                </c:pt>
                <c:pt idx="2">
                  <c:v>0</c:v>
                </c:pt>
                <c:pt idx="3">
                  <c:v>0</c:v>
                </c:pt>
                <c:pt idx="4">
                  <c:v>0</c:v>
                </c:pt>
                <c:pt idx="5">
                  <c:v>0</c:v>
                </c:pt>
                <c:pt idx="6">
                  <c:v>40178716.279999994</c:v>
                </c:pt>
                <c:pt idx="7">
                  <c:v>0</c:v>
                </c:pt>
                <c:pt idx="8">
                  <c:v>0</c:v>
                </c:pt>
              </c:numCache>
            </c:numRef>
          </c:val>
          <c:extLst>
            <c:ext xmlns:c16="http://schemas.microsoft.com/office/drawing/2014/chart" uri="{C3380CC4-5D6E-409C-BE32-E72D297353CC}">
              <c16:uniqueId val="{00000001-F3B9-4F8D-A90A-9F89963A321F}"/>
            </c:ext>
          </c:extLst>
        </c:ser>
        <c:dLbls>
          <c:showLegendKey val="0"/>
          <c:showVal val="0"/>
          <c:showCatName val="0"/>
          <c:showSerName val="0"/>
          <c:showPercent val="0"/>
          <c:showBubbleSize val="0"/>
        </c:dLbls>
        <c:gapWidth val="150"/>
        <c:shape val="box"/>
        <c:axId val="447509808"/>
        <c:axId val="1"/>
        <c:axId val="0"/>
      </c:bar3DChart>
      <c:catAx>
        <c:axId val="4475098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Narrow"/>
                    <a:ea typeface="Arial Narrow"/>
                    <a:cs typeface="Arial Narrow"/>
                  </a:defRPr>
                </a:pPr>
                <a:r>
                  <a:rPr lang="en-ZA"/>
                  <a:t>R'000</a:t>
                </a:r>
              </a:p>
            </c:rich>
          </c:tx>
          <c:layout>
            <c:manualLayout>
              <c:xMode val="edge"/>
              <c:yMode val="edge"/>
              <c:x val="0.10608424336973479"/>
              <c:y val="0.39243598096337251"/>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4750980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8" header="0.5" footer="0.4"/>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084528567171251"/>
          <c:y val="8.0188771591211391E-2"/>
          <c:w val="0.85289645212314791"/>
          <c:h val="0.64386866601178561"/>
        </c:manualLayout>
      </c:layout>
      <c:bar3DChart>
        <c:barDir val="col"/>
        <c:grouping val="clustered"/>
        <c:varyColors val="0"/>
        <c:ser>
          <c:idx val="0"/>
          <c:order val="0"/>
          <c:tx>
            <c:strRef>
              <c:f>SC71charts!$B$2</c:f>
              <c:strCache>
                <c:ptCount val="1"/>
                <c:pt idx="0">
                  <c:v>2019/20</c:v>
                </c:pt>
              </c:strCache>
            </c:strRef>
          </c:tx>
          <c:spPr>
            <a:solidFill>
              <a:srgbClr val="008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SC71charts!$B$3:$B$14</c:f>
              <c:numCache>
                <c:formatCode>_(* #\ ##0\ _);_(* \(#\ ##0\ \);_(* "–"?_);_(@_)</c:formatCode>
                <c:ptCount val="12"/>
                <c:pt idx="0">
                  <c:v>66093583.333333336</c:v>
                </c:pt>
                <c:pt idx="1">
                  <c:v>66093583.333333336</c:v>
                </c:pt>
                <c:pt idx="2">
                  <c:v>66093583.333333336</c:v>
                </c:pt>
                <c:pt idx="3">
                  <c:v>66093583.333333336</c:v>
                </c:pt>
                <c:pt idx="4">
                  <c:v>66093583.333333336</c:v>
                </c:pt>
                <c:pt idx="5">
                  <c:v>66093583.333333336</c:v>
                </c:pt>
                <c:pt idx="6">
                  <c:v>66093583.333333336</c:v>
                </c:pt>
                <c:pt idx="7">
                  <c:v>66093583.333333336</c:v>
                </c:pt>
                <c:pt idx="8">
                  <c:v>66093583.333333336</c:v>
                </c:pt>
                <c:pt idx="9">
                  <c:v>66093583.333333336</c:v>
                </c:pt>
                <c:pt idx="10">
                  <c:v>66093583.333333336</c:v>
                </c:pt>
                <c:pt idx="11">
                  <c:v>66093583.333333336</c:v>
                </c:pt>
              </c:numCache>
            </c:numRef>
          </c:val>
          <c:extLst>
            <c:ext xmlns:c16="http://schemas.microsoft.com/office/drawing/2014/chart" uri="{C3380CC4-5D6E-409C-BE32-E72D297353CC}">
              <c16:uniqueId val="{00000000-E3E2-4762-B7C6-642C15F81326}"/>
            </c:ext>
          </c:extLst>
        </c:ser>
        <c:ser>
          <c:idx val="1"/>
          <c:order val="1"/>
          <c:tx>
            <c:strRef>
              <c:f>SC71charts!$C$2</c:f>
              <c:strCache>
                <c:ptCount val="1"/>
                <c:pt idx="0">
                  <c:v>Original Budget</c:v>
                </c:pt>
              </c:strCache>
            </c:strRef>
          </c:tx>
          <c:spPr>
            <a:solidFill>
              <a:srgbClr val="FFFF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SC71charts!$C$3:$C$14</c:f>
              <c:numCache>
                <c:formatCode>_(* #\ ##0\ _);_(* \(#\ ##0\ \);_(* "–"?_);_(@_)</c:formatCode>
                <c:ptCount val="12"/>
                <c:pt idx="0">
                  <c:v>48407631.75</c:v>
                </c:pt>
                <c:pt idx="1">
                  <c:v>48407631.75</c:v>
                </c:pt>
                <c:pt idx="2">
                  <c:v>48407631.75</c:v>
                </c:pt>
                <c:pt idx="3">
                  <c:v>48407631.75</c:v>
                </c:pt>
                <c:pt idx="4">
                  <c:v>48407631.75</c:v>
                </c:pt>
                <c:pt idx="5">
                  <c:v>48407631.75</c:v>
                </c:pt>
                <c:pt idx="6">
                  <c:v>48407631.75</c:v>
                </c:pt>
                <c:pt idx="7">
                  <c:v>48407631.75</c:v>
                </c:pt>
                <c:pt idx="8">
                  <c:v>48407631.75</c:v>
                </c:pt>
                <c:pt idx="9">
                  <c:v>48407631.75</c:v>
                </c:pt>
                <c:pt idx="10">
                  <c:v>48407631.75</c:v>
                </c:pt>
                <c:pt idx="11">
                  <c:v>48407631.75</c:v>
                </c:pt>
              </c:numCache>
            </c:numRef>
          </c:val>
          <c:extLst>
            <c:ext xmlns:c16="http://schemas.microsoft.com/office/drawing/2014/chart" uri="{C3380CC4-5D6E-409C-BE32-E72D297353CC}">
              <c16:uniqueId val="{00000001-E3E2-4762-B7C6-642C15F81326}"/>
            </c:ext>
          </c:extLst>
        </c:ser>
        <c:ser>
          <c:idx val="2"/>
          <c:order val="2"/>
          <c:tx>
            <c:strRef>
              <c:f>SC71charts!$D$2</c:f>
              <c:strCache>
                <c:ptCount val="1"/>
                <c:pt idx="0">
                  <c:v>Adjusted Budget</c:v>
                </c:pt>
              </c:strCache>
            </c:strRef>
          </c:tx>
          <c:spPr>
            <a:solidFill>
              <a:srgbClr val="0000FF"/>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SC71charts!$D$3:$D$14</c:f>
              <c:numCache>
                <c:formatCode>_(* #\ ##0\ _);_(* \(#\ ##0\ \);_(*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3E2-4762-B7C6-642C15F81326}"/>
            </c:ext>
          </c:extLst>
        </c:ser>
        <c:ser>
          <c:idx val="3"/>
          <c:order val="3"/>
          <c:tx>
            <c:strRef>
              <c:f>SC71charts!$E$2</c:f>
              <c:strCache>
                <c:ptCount val="1"/>
                <c:pt idx="0">
                  <c:v>Monthly actual</c:v>
                </c:pt>
              </c:strCache>
            </c:strRef>
          </c:tx>
          <c:spPr>
            <a:solidFill>
              <a:srgbClr val="FF0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SC71charts!$E$3:$E$14</c:f>
              <c:numCache>
                <c:formatCode>_(* #\ ##0\ _);_(* \(#\ ##0\ \);_(* "–"?_);_(@_)</c:formatCode>
                <c:ptCount val="12"/>
                <c:pt idx="0">
                  <c:v>936648.53999999957</c:v>
                </c:pt>
                <c:pt idx="1">
                  <c:v>28293360.050000001</c:v>
                </c:pt>
                <c:pt idx="2">
                  <c:v>51276404.180000007</c:v>
                </c:pt>
                <c:pt idx="3">
                  <c:v>34751661.439999998</c:v>
                </c:pt>
                <c:pt idx="4">
                  <c:v>64917006.57</c:v>
                </c:pt>
                <c:pt idx="5">
                  <c:v>66591378.019999981</c:v>
                </c:pt>
                <c:pt idx="6">
                  <c:v>0</c:v>
                </c:pt>
                <c:pt idx="7">
                  <c:v>0</c:v>
                </c:pt>
                <c:pt idx="8">
                  <c:v>0</c:v>
                </c:pt>
                <c:pt idx="9">
                  <c:v>0</c:v>
                </c:pt>
                <c:pt idx="10">
                  <c:v>0</c:v>
                </c:pt>
                <c:pt idx="11">
                  <c:v>0</c:v>
                </c:pt>
              </c:numCache>
            </c:numRef>
          </c:val>
          <c:extLst>
            <c:ext xmlns:c16="http://schemas.microsoft.com/office/drawing/2014/chart" uri="{C3380CC4-5D6E-409C-BE32-E72D297353CC}">
              <c16:uniqueId val="{00000003-E3E2-4762-B7C6-642C15F81326}"/>
            </c:ext>
          </c:extLst>
        </c:ser>
        <c:dLbls>
          <c:showLegendKey val="0"/>
          <c:showVal val="0"/>
          <c:showCatName val="0"/>
          <c:showSerName val="0"/>
          <c:showPercent val="0"/>
          <c:showBubbleSize val="0"/>
        </c:dLbls>
        <c:gapWidth val="150"/>
        <c:shape val="box"/>
        <c:axId val="447512432"/>
        <c:axId val="1"/>
        <c:axId val="0"/>
      </c:bar3DChart>
      <c:catAx>
        <c:axId val="447512432"/>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ZA"/>
                  <a:t>R'000</a:t>
                </a:r>
              </a:p>
            </c:rich>
          </c:tx>
          <c:layout>
            <c:manualLayout>
              <c:xMode val="edge"/>
              <c:yMode val="edge"/>
              <c:x val="0.14084523472124669"/>
              <c:y val="0.34905709899470111"/>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47512432"/>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 l="0.34" r="0.21" t="0.78" header="0.5" footer="0.38"/>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3281260132797343"/>
          <c:y val="7.9812389534710454E-2"/>
          <c:w val="0.86093815684368658"/>
          <c:h val="0.74882800769331281"/>
        </c:manualLayout>
      </c:layout>
      <c:bar3DChart>
        <c:barDir val="col"/>
        <c:grouping val="clustered"/>
        <c:varyColors val="0"/>
        <c:ser>
          <c:idx val="0"/>
          <c:order val="0"/>
          <c:tx>
            <c:strRef>
              <c:f>SC71charts!$B$27</c:f>
              <c:strCache>
                <c:ptCount val="1"/>
                <c:pt idx="0">
                  <c:v>YearTD actual</c:v>
                </c:pt>
              </c:strCache>
            </c:strRef>
          </c:tx>
          <c:spPr>
            <a:solidFill>
              <a:srgbClr val="FF0000"/>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SC71charts!$B$28:$B$39</c:f>
              <c:numCache>
                <c:formatCode>_(* #\ ##0\ _);_(* \(#\ ##0\ \);_(* "–"?_);_(@_)</c:formatCode>
                <c:ptCount val="12"/>
                <c:pt idx="0">
                  <c:v>936648.53999999957</c:v>
                </c:pt>
                <c:pt idx="1">
                  <c:v>29230008.59</c:v>
                </c:pt>
                <c:pt idx="2">
                  <c:v>80506412.770000011</c:v>
                </c:pt>
                <c:pt idx="3">
                  <c:v>115258074.21000001</c:v>
                </c:pt>
                <c:pt idx="4">
                  <c:v>180175080.78</c:v>
                </c:pt>
                <c:pt idx="5">
                  <c:v>246766458.79999998</c:v>
                </c:pt>
                <c:pt idx="6">
                  <c:v>0</c:v>
                </c:pt>
                <c:pt idx="7">
                  <c:v>0</c:v>
                </c:pt>
                <c:pt idx="8">
                  <c:v>0</c:v>
                </c:pt>
                <c:pt idx="9">
                  <c:v>0</c:v>
                </c:pt>
                <c:pt idx="10">
                  <c:v>0</c:v>
                </c:pt>
                <c:pt idx="11">
                  <c:v>0</c:v>
                </c:pt>
              </c:numCache>
            </c:numRef>
          </c:val>
          <c:extLst>
            <c:ext xmlns:c16="http://schemas.microsoft.com/office/drawing/2014/chart" uri="{C3380CC4-5D6E-409C-BE32-E72D297353CC}">
              <c16:uniqueId val="{00000000-DD8C-494E-847B-47578620F5EC}"/>
            </c:ext>
          </c:extLst>
        </c:ser>
        <c:ser>
          <c:idx val="1"/>
          <c:order val="1"/>
          <c:tx>
            <c:strRef>
              <c:f>SC71charts!$C$27</c:f>
              <c:strCache>
                <c:ptCount val="1"/>
                <c:pt idx="0">
                  <c:v>YearTD budget</c:v>
                </c:pt>
              </c:strCache>
            </c:strRef>
          </c:tx>
          <c:spPr>
            <a:solidFill>
              <a:srgbClr val="0000FF"/>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SC71charts!$C$28:$C$39</c:f>
              <c:numCache>
                <c:formatCode>_(* #\ ##0\ _);_(* \(#\ ##0\ \);_(* "–"?_);_(@_)</c:formatCode>
                <c:ptCount val="12"/>
                <c:pt idx="0">
                  <c:v>48407631.75</c:v>
                </c:pt>
                <c:pt idx="1">
                  <c:v>96815263.5</c:v>
                </c:pt>
                <c:pt idx="2">
                  <c:v>145222895.25</c:v>
                </c:pt>
                <c:pt idx="3">
                  <c:v>193630527</c:v>
                </c:pt>
                <c:pt idx="4">
                  <c:v>242038158.75</c:v>
                </c:pt>
                <c:pt idx="5">
                  <c:v>290445790.5</c:v>
                </c:pt>
                <c:pt idx="6">
                  <c:v>338853422.25</c:v>
                </c:pt>
                <c:pt idx="7">
                  <c:v>387261054</c:v>
                </c:pt>
                <c:pt idx="8">
                  <c:v>435668685.75</c:v>
                </c:pt>
                <c:pt idx="9">
                  <c:v>484076317.5</c:v>
                </c:pt>
                <c:pt idx="10">
                  <c:v>532483949.25</c:v>
                </c:pt>
                <c:pt idx="11">
                  <c:v>580891581</c:v>
                </c:pt>
              </c:numCache>
            </c:numRef>
          </c:val>
          <c:extLst>
            <c:ext xmlns:c16="http://schemas.microsoft.com/office/drawing/2014/chart" uri="{C3380CC4-5D6E-409C-BE32-E72D297353CC}">
              <c16:uniqueId val="{00000001-DD8C-494E-847B-47578620F5EC}"/>
            </c:ext>
          </c:extLst>
        </c:ser>
        <c:dLbls>
          <c:showLegendKey val="0"/>
          <c:showVal val="0"/>
          <c:showCatName val="0"/>
          <c:showSerName val="0"/>
          <c:showPercent val="0"/>
          <c:showBubbleSize val="0"/>
        </c:dLbls>
        <c:gapWidth val="150"/>
        <c:shape val="box"/>
        <c:axId val="447518992"/>
        <c:axId val="1"/>
        <c:axId val="0"/>
      </c:bar3DChart>
      <c:catAx>
        <c:axId val="447518992"/>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ZA"/>
                  <a:t>R'000</a:t>
                </a:r>
              </a:p>
            </c:rich>
          </c:tx>
          <c:layout>
            <c:manualLayout>
              <c:xMode val="edge"/>
              <c:yMode val="edge"/>
              <c:x val="8.59375E-2"/>
              <c:y val="0.43192611486944416"/>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47518992"/>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5" header="0.5" footer="0.41"/>
    <c:pageSetup paperSize="9" orientation="landscape"/>
  </c:printSettings>
  <c:userShapes r:id="rId1"/>
</c:chartSpace>
</file>

<file path=xl/ctrlProps/ctrlProp1.xml><?xml version="1.0" encoding="utf-8"?>
<formControlPr xmlns="http://schemas.microsoft.com/office/spreadsheetml/2009/9/main" objectType="Drop" dropLines="2" dropStyle="combo" dx="22" fmlaLink="MuniEntities" fmlaRange="$X$4:$X$5" noThreeD="1" sel="1" val="0"/>
</file>

<file path=xl/ctrlProps/ctrlProp2.xml><?xml version="1.0" encoding="utf-8"?>
<formControlPr xmlns="http://schemas.microsoft.com/office/spreadsheetml/2009/9/main" objectType="Drop" dropLines="2" dropStyle="combo" dx="22" fmlaLink="MuniType" fmlaRange="$X$7:$X$15" noThreeD="1" sel="2" val="0"/>
</file>

<file path=xl/ctrlProps/ctrlProp3.xml><?xml version="1.0" encoding="utf-8"?>
<formControlPr xmlns="http://schemas.microsoft.com/office/spreadsheetml/2009/9/main" objectType="Drop" dropLines="6" dropStyle="combo" dx="22" fmlaLink="$X$35" fmlaRange="$X$19:$X$33" noThreeD="1" sel="13" val="9"/>
</file>

<file path=xl/ctrlProps/ctrlProp4.xml><?xml version="1.0" encoding="utf-8"?>
<formControlPr xmlns="http://schemas.microsoft.com/office/spreadsheetml/2009/9/main" objectType="Drop" dropLines="10" dropStyle="combo" dx="22" fmlaLink="'Lookup and lists'!$B$26" fmlaRange="'Lookup and lists'!$B$28:$B$285" noThreeD="1" sel="85" val="77"/>
</file>

<file path=xl/ctrlProps/ctrlProp5.xml><?xml version="1.0" encoding="utf-8"?>
<formControlPr xmlns="http://schemas.microsoft.com/office/spreadsheetml/2009/9/main" objectType="Drop" dropLines="6" dropStyle="combo" dx="22" fmlaLink="$X$10" fmlaRange="$X$39:$X$55" noThreeD="1" sel="17" val="11"/>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6.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Guidelines/Pages/DummyBudgetGuide.aspx" TargetMode="External"/><Relationship Id="rId5" Type="http://schemas.openxmlformats.org/officeDocument/2006/relationships/hyperlink" Target="http://mfma.treasury.gov.za/RegulationsandGazettes/Municipal%20Budget%20and%20Reporting%20Regulations/regulation2012-2013/Documents/Budget%20Format%20Guidelines_%202012_13.pdf" TargetMode="External"/><Relationship Id="rId4" Type="http://schemas.openxmlformats.org/officeDocument/2006/relationships/hyperlink" Target="http://mfma.treasury.gov.za/Circulars/Pages/default.aspx"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656497" name="Group 28"/>
        <xdr:cNvGrpSpPr>
          <a:grpSpLocks/>
        </xdr:cNvGrpSpPr>
      </xdr:nvGrpSpPr>
      <xdr:grpSpPr bwMode="auto">
        <a:xfrm>
          <a:off x="0" y="0"/>
          <a:ext cx="8601075" cy="6400800"/>
          <a:chOff x="0" y="0"/>
          <a:chExt cx="903" cy="672"/>
        </a:xfrm>
      </xdr:grpSpPr>
      <xdr:grpSp>
        <xdr:nvGrpSpPr>
          <xdr:cNvPr id="1656499" name="Group 1"/>
          <xdr:cNvGrpSpPr>
            <a:grpSpLocks/>
          </xdr:cNvGrpSpPr>
        </xdr:nvGrpSpPr>
        <xdr:grpSpPr bwMode="auto">
          <a:xfrm>
            <a:off x="0" y="0"/>
            <a:ext cx="903" cy="672"/>
            <a:chOff x="0" y="0"/>
            <a:chExt cx="791" cy="672"/>
          </a:xfrm>
        </xdr:grpSpPr>
        <xdr:grpSp>
          <xdr:nvGrpSpPr>
            <xdr:cNvPr id="1656501" name="Group 2"/>
            <xdr:cNvGrpSpPr>
              <a:grpSpLocks/>
            </xdr:cNvGrpSpPr>
          </xdr:nvGrpSpPr>
          <xdr:grpSpPr bwMode="auto">
            <a:xfrm>
              <a:off x="0" y="0"/>
              <a:ext cx="791" cy="672"/>
              <a:chOff x="12" y="17"/>
              <a:chExt cx="791" cy="672"/>
            </a:xfrm>
          </xdr:grpSpPr>
          <xdr:pic>
            <xdr:nvPicPr>
              <xdr:cNvPr id="1656503"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04"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56505" name="Group 5"/>
              <xdr:cNvGrpSpPr>
                <a:grpSpLocks/>
              </xdr:cNvGrpSpPr>
            </xdr:nvGrpSpPr>
            <xdr:grpSpPr bwMode="auto">
              <a:xfrm>
                <a:off x="416" y="255"/>
                <a:ext cx="367" cy="413"/>
                <a:chOff x="416" y="255"/>
                <a:chExt cx="367" cy="413"/>
              </a:xfrm>
            </xdr:grpSpPr>
            <xdr:pic>
              <xdr:nvPicPr>
                <xdr:cNvPr id="1656510"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56511" name="Group 7"/>
                <xdr:cNvGrpSpPr>
                  <a:grpSpLocks/>
                </xdr:cNvGrpSpPr>
              </xdr:nvGrpSpPr>
              <xdr:grpSpPr bwMode="auto">
                <a:xfrm>
                  <a:off x="432" y="264"/>
                  <a:ext cx="286" cy="128"/>
                  <a:chOff x="426" y="263"/>
                  <a:chExt cx="290" cy="130"/>
                </a:xfrm>
              </xdr:grpSpPr>
              <xdr:pic>
                <xdr:nvPicPr>
                  <xdr:cNvPr id="1656513" name="Picture 52" descr="Letter Head"/>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56514" name="Line 53"/>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9274" name="Text Box 10"/>
                <xdr:cNvSpPr txBox="1">
                  <a:spLocks noChangeArrowheads="1"/>
                </xdr:cNvSpPr>
              </xdr:nvSpPr>
              <xdr:spPr bwMode="auto">
                <a:xfrm>
                  <a:off x="435" y="393"/>
                  <a:ext cx="333" cy="254"/>
                </a:xfrm>
                <a:prstGeom prst="rect">
                  <a:avLst/>
                </a:prstGeom>
                <a:noFill/>
                <a:ln>
                  <a:noFill/>
                </a:ln>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Budget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656506" name="Group 11"/>
              <xdr:cNvGrpSpPr>
                <a:grpSpLocks/>
              </xdr:cNvGrpSpPr>
            </xdr:nvGrpSpPr>
            <xdr:grpSpPr bwMode="auto">
              <a:xfrm>
                <a:off x="76" y="364"/>
                <a:ext cx="289" cy="256"/>
                <a:chOff x="76" y="364"/>
                <a:chExt cx="289" cy="256"/>
              </a:xfrm>
            </xdr:grpSpPr>
            <xdr:pic>
              <xdr:nvPicPr>
                <xdr:cNvPr id="1656507" name="Picture 12" descr="J1c"/>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08" name="Picture 13" descr="J1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09" name="Picture 14" descr="J1b"/>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656502" name="Picture 15" descr="C1b ligh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9291" name="Text Box 27"/>
          <xdr:cNvSpPr txBox="1">
            <a:spLocks noChangeArrowheads="1"/>
          </xdr:cNvSpPr>
        </xdr:nvSpPr>
        <xdr:spPr bwMode="auto">
          <a:xfrm>
            <a:off x="732" y="199"/>
            <a:ext cx="162" cy="25"/>
          </a:xfrm>
          <a:prstGeom prst="rect">
            <a:avLst/>
          </a:prstGeom>
          <a:noFill/>
          <a:ln>
            <a:noFill/>
          </a:ln>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6.4</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146685</xdr:rowOff>
    </xdr:from>
    <xdr:to>
      <xdr:col>4</xdr:col>
      <xdr:colOff>485775</xdr:colOff>
      <xdr:row>19</xdr:row>
      <xdr:rowOff>139</xdr:rowOff>
    </xdr:to>
    <xdr:sp macro="[0]!GoToInstructions" textlink="">
      <xdr:nvSpPr>
        <xdr:cNvPr id="139290" name="Text Box 26"/>
        <xdr:cNvSpPr txBox="1">
          <a:spLocks noChangeArrowheads="1"/>
        </xdr:cNvSpPr>
      </xdr:nvSpPr>
      <xdr:spPr bwMode="auto">
        <a:xfrm>
          <a:off x="695325" y="2581275"/>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0.18376</cdr:x>
      <cdr:y>0.01195</cdr:y>
    </cdr:from>
    <cdr:to>
      <cdr:x>0.95208</cdr:x>
      <cdr:y>0.06147</cdr:y>
    </cdr:to>
    <cdr:sp macro="" textlink="SC71charts!$A$26">
      <cdr:nvSpPr>
        <cdr:cNvPr id="125953" name="Text Box 1"/>
        <cdr:cNvSpPr txBox="1">
          <a:spLocks xmlns:a="http://schemas.openxmlformats.org/drawingml/2006/main" noChangeArrowheads="1" noTextEdit="1"/>
        </cdr:cNvSpPr>
      </cdr:nvSpPr>
      <cdr:spPr bwMode="auto">
        <a:xfrm xmlns:a="http://schemas.openxmlformats.org/drawingml/2006/main">
          <a:off x="1126639" y="50800"/>
          <a:ext cx="4700035" cy="1995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67A942EF-0152-4E2B-910F-8E0CBFE1DD96}" type="TxLink">
            <a:rPr lang="en-GB" sz="1200" b="1" i="0" u="none" strike="noStrike" baseline="0">
              <a:solidFill>
                <a:srgbClr val="000000"/>
              </a:solidFill>
              <a:latin typeface="Arial Narrow"/>
            </a:rPr>
            <a:pPr algn="ctr" rtl="0">
              <a:defRPr sz="1000"/>
            </a:pPr>
            <a:t>Chart C2 2020/21 Capital Expenditure: YTD actual v YTD target</a:t>
          </a:fld>
          <a:endParaRPr lang="en-GB" sz="1200" b="1" i="0" u="none" strike="noStrike" baseline="0">
            <a:solidFill>
              <a:srgbClr val="000000"/>
            </a:solidFill>
            <a:latin typeface="Arial Narrow"/>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47</xdr:row>
      <xdr:rowOff>66675</xdr:rowOff>
    </xdr:to>
    <xdr:pic>
      <xdr:nvPicPr>
        <xdr:cNvPr id="1724165"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767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29</xdr:row>
      <xdr:rowOff>76200</xdr:rowOff>
    </xdr:from>
    <xdr:to>
      <xdr:col>6</xdr:col>
      <xdr:colOff>95250</xdr:colOff>
      <xdr:row>46</xdr:row>
      <xdr:rowOff>57150</xdr:rowOff>
    </xdr:to>
    <xdr:pic>
      <xdr:nvPicPr>
        <xdr:cNvPr id="1724166"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4772025"/>
          <a:ext cx="3609975"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104775</xdr:rowOff>
    </xdr:from>
    <xdr:to>
      <xdr:col>11</xdr:col>
      <xdr:colOff>561975</xdr:colOff>
      <xdr:row>28</xdr:row>
      <xdr:rowOff>108800</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118110</xdr:rowOff>
    </xdr:from>
    <xdr:to>
      <xdr:col>11</xdr:col>
      <xdr:colOff>552450</xdr:colOff>
      <xdr:row>3</xdr:row>
      <xdr:rowOff>133747</xdr:rowOff>
    </xdr:to>
    <xdr:sp macro="" textlink="">
      <xdr:nvSpPr>
        <xdr:cNvPr id="123921" name="Text Box 17"/>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104775</xdr:rowOff>
    </xdr:to>
    <xdr:sp macro="" textlink="">
      <xdr:nvSpPr>
        <xdr:cNvPr id="142343" name="Text Box 22"/>
        <xdr:cNvSpPr txBox="1">
          <a:spLocks noChangeArrowheads="1"/>
        </xdr:cNvSpPr>
      </xdr:nvSpPr>
      <xdr:spPr bwMode="auto">
        <a:xfrm>
          <a:off x="228600" y="2686050"/>
          <a:ext cx="2933700"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108800</xdr:rowOff>
    </xdr:to>
    <xdr:sp macro="" textlink="">
      <xdr:nvSpPr>
        <xdr:cNvPr id="142344" name="Text Box 24"/>
        <xdr:cNvSpPr txBox="1">
          <a:spLocks noChangeArrowheads="1"/>
        </xdr:cNvSpPr>
      </xdr:nvSpPr>
      <xdr:spPr bwMode="auto">
        <a:xfrm>
          <a:off x="4524375" y="2695575"/>
          <a:ext cx="1438275"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57150</xdr:rowOff>
    </xdr:from>
    <xdr:to>
      <xdr:col>5</xdr:col>
      <xdr:colOff>47625</xdr:colOff>
      <xdr:row>22</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104775</xdr:rowOff>
    </xdr:from>
    <xdr:to>
      <xdr:col>5</xdr:col>
      <xdr:colOff>47625</xdr:colOff>
      <xdr:row>24</xdr:row>
      <xdr:rowOff>146970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118110</xdr:rowOff>
    </xdr:from>
    <xdr:to>
      <xdr:col>5</xdr:col>
      <xdr:colOff>95250</xdr:colOff>
      <xdr:row>13</xdr:row>
      <xdr:rowOff>108585</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mc:AlternateContent xmlns:mc="http://schemas.openxmlformats.org/markup-compatibility/2006">
    <mc:Choice xmlns:a14="http://schemas.microsoft.com/office/drawing/2010/main" Requires="a14">
      <xdr:twoCellAnchor editAs="oneCell">
        <xdr:from>
          <xdr:col>5</xdr:col>
          <xdr:colOff>219075</xdr:colOff>
          <xdr:row>20</xdr:row>
          <xdr:rowOff>28575</xdr:rowOff>
        </xdr:from>
        <xdr:to>
          <xdr:col>6</xdr:col>
          <xdr:colOff>495300</xdr:colOff>
          <xdr:row>21</xdr:row>
          <xdr:rowOff>123825</xdr:rowOff>
        </xdr:to>
        <xdr:sp macro="" textlink="">
          <xdr:nvSpPr>
            <xdr:cNvPr id="142354" name="Drop Down 18" hidden="1">
              <a:extLst>
                <a:ext uri="{63B3BB69-23CF-44E3-9099-C40C66FF867C}">
                  <a14:compatExt spid="_x0000_s142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22</xdr:row>
          <xdr:rowOff>114300</xdr:rowOff>
        </xdr:from>
        <xdr:to>
          <xdr:col>7</xdr:col>
          <xdr:colOff>600075</xdr:colOff>
          <xdr:row>24</xdr:row>
          <xdr:rowOff>47625</xdr:rowOff>
        </xdr:to>
        <xdr:sp macro="" textlink="">
          <xdr:nvSpPr>
            <xdr:cNvPr id="142355" name="Drop Down 19" hidden="1">
              <a:extLst>
                <a:ext uri="{63B3BB69-23CF-44E3-9099-C40C66FF867C}">
                  <a14:compatExt spid="_x0000_s142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17</xdr:row>
          <xdr:rowOff>57150</xdr:rowOff>
        </xdr:from>
        <xdr:to>
          <xdr:col>7</xdr:col>
          <xdr:colOff>238125</xdr:colOff>
          <xdr:row>18</xdr:row>
          <xdr:rowOff>152400</xdr:rowOff>
        </xdr:to>
        <xdr:sp macro="" textlink="">
          <xdr:nvSpPr>
            <xdr:cNvPr id="142356" name="Drop Down 20" hidden="1">
              <a:extLst>
                <a:ext uri="{63B3BB69-23CF-44E3-9099-C40C66FF867C}">
                  <a14:compatExt spid="_x0000_s142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19</xdr:row>
          <xdr:rowOff>28575</xdr:rowOff>
        </xdr:to>
        <xdr:pic>
          <xdr:nvPicPr>
            <xdr:cNvPr id="1724178" name="TextBox2"/>
            <xdr:cNvPicPr preferRelativeResize="0">
              <a:picLocks noChangeArrowheads="1" noChangeShapeType="1"/>
              <a:extLst>
                <a:ext uri="{84589F7E-364E-4C9E-8A38-B11213B215E9}">
                  <a14:cameraTool cellRange="FinYear" spid="_x0000_s1758395"/>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47625</xdr:rowOff>
        </xdr:from>
        <xdr:to>
          <xdr:col>11</xdr:col>
          <xdr:colOff>247650</xdr:colOff>
          <xdr:row>8</xdr:row>
          <xdr:rowOff>142875</xdr:rowOff>
        </xdr:to>
        <xdr:sp macro="" textlink="">
          <xdr:nvSpPr>
            <xdr:cNvPr id="142358" name="TextBox3" hidden="1">
              <a:extLst>
                <a:ext uri="{63B3BB69-23CF-44E3-9099-C40C66FF867C}">
                  <a14:compatExt spid="_x0000_s142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123825</xdr:rowOff>
        </xdr:from>
        <xdr:to>
          <xdr:col>7</xdr:col>
          <xdr:colOff>552450</xdr:colOff>
          <xdr:row>11</xdr:row>
          <xdr:rowOff>57150</xdr:rowOff>
        </xdr:to>
        <xdr:sp macro="" textlink="">
          <xdr:nvSpPr>
            <xdr:cNvPr id="142359" name="TextBox4" hidden="1">
              <a:extLst>
                <a:ext uri="{63B3BB69-23CF-44E3-9099-C40C66FF867C}">
                  <a14:compatExt spid="_x0000_s142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12</xdr:row>
          <xdr:rowOff>28575</xdr:rowOff>
        </xdr:from>
        <xdr:to>
          <xdr:col>11</xdr:col>
          <xdr:colOff>247650</xdr:colOff>
          <xdr:row>13</xdr:row>
          <xdr:rowOff>123825</xdr:rowOff>
        </xdr:to>
        <xdr:sp macro="" textlink="">
          <xdr:nvSpPr>
            <xdr:cNvPr id="142360" name="TextBox5" hidden="1">
              <a:extLst>
                <a:ext uri="{63B3BB69-23CF-44E3-9099-C40C66FF867C}">
                  <a14:compatExt spid="_x0000_s142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247650</xdr:colOff>
          <xdr:row>11</xdr:row>
          <xdr:rowOff>76200</xdr:rowOff>
        </xdr:to>
        <xdr:sp macro="" textlink="">
          <xdr:nvSpPr>
            <xdr:cNvPr id="142361" name="TextBox6" hidden="1">
              <a:extLst>
                <a:ext uri="{63B3BB69-23CF-44E3-9099-C40C66FF867C}">
                  <a14:compatExt spid="_x0000_s142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123825</xdr:rowOff>
        </xdr:from>
        <xdr:to>
          <xdr:col>5</xdr:col>
          <xdr:colOff>133350</xdr:colOff>
          <xdr:row>37</xdr:row>
          <xdr:rowOff>123825</xdr:rowOff>
        </xdr:to>
        <xdr:sp macro="" textlink="">
          <xdr:nvSpPr>
            <xdr:cNvPr id="142362" name="ToggleReferenceColumns" hidden="1">
              <a:extLst>
                <a:ext uri="{63B3BB69-23CF-44E3-9099-C40C66FF867C}">
                  <a14:compatExt spid="_x0000_s142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38</xdr:row>
          <xdr:rowOff>47625</xdr:rowOff>
        </xdr:from>
        <xdr:to>
          <xdr:col>5</xdr:col>
          <xdr:colOff>133350</xdr:colOff>
          <xdr:row>40</xdr:row>
          <xdr:rowOff>38100</xdr:rowOff>
        </xdr:to>
        <xdr:sp macro="" textlink="">
          <xdr:nvSpPr>
            <xdr:cNvPr id="142363" name="TogglePreAuditColums" hidden="1">
              <a:extLst>
                <a:ext uri="{63B3BB69-23CF-44E3-9099-C40C66FF867C}">
                  <a14:compatExt spid="_x0000_s142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9525</xdr:rowOff>
        </xdr:from>
        <xdr:to>
          <xdr:col>5</xdr:col>
          <xdr:colOff>133350</xdr:colOff>
          <xdr:row>45</xdr:row>
          <xdr:rowOff>9525</xdr:rowOff>
        </xdr:to>
        <xdr:sp macro="" textlink="">
          <xdr:nvSpPr>
            <xdr:cNvPr id="142364" name="ToggleHiddenColumns" hidden="1">
              <a:extLst>
                <a:ext uri="{63B3BB69-23CF-44E3-9099-C40C66FF867C}">
                  <a14:compatExt spid="_x0000_s142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104775</xdr:colOff>
      <xdr:row>14</xdr:row>
      <xdr:rowOff>38100</xdr:rowOff>
    </xdr:from>
    <xdr:to>
      <xdr:col>5</xdr:col>
      <xdr:colOff>114300</xdr:colOff>
      <xdr:row>17</xdr:row>
      <xdr:rowOff>47625</xdr:rowOff>
    </xdr:to>
    <xdr:sp macro="" textlink="">
      <xdr:nvSpPr>
        <xdr:cNvPr id="142365" name="Text Box 24"/>
        <xdr:cNvSpPr txBox="1">
          <a:spLocks noChangeArrowheads="1"/>
        </xdr:cNvSpPr>
      </xdr:nvSpPr>
      <xdr:spPr bwMode="auto">
        <a:xfrm>
          <a:off x="1323975" y="2305050"/>
          <a:ext cx="1838325"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Reporting period:</a:t>
          </a:r>
        </a:p>
      </xdr:txBody>
    </xdr:sp>
    <xdr:clientData/>
  </xdr:twoCellAnchor>
  <xdr:twoCellAnchor>
    <xdr:from>
      <xdr:col>0</xdr:col>
      <xdr:colOff>133350</xdr:colOff>
      <xdr:row>29</xdr:row>
      <xdr:rowOff>104774</xdr:rowOff>
    </xdr:from>
    <xdr:to>
      <xdr:col>6</xdr:col>
      <xdr:colOff>57150</xdr:colOff>
      <xdr:row>33</xdr:row>
      <xdr:rowOff>19049</xdr:rowOff>
    </xdr:to>
    <xdr:sp macro="" textlink="">
      <xdr:nvSpPr>
        <xdr:cNvPr id="142367" name="Text Box 18"/>
        <xdr:cNvSpPr txBox="1">
          <a:spLocks noChangeArrowheads="1"/>
        </xdr:cNvSpPr>
      </xdr:nvSpPr>
      <xdr:spPr bwMode="auto">
        <a:xfrm>
          <a:off x="133350" y="4800599"/>
          <a:ext cx="3581400"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1</xdr:col>
      <xdr:colOff>9525</xdr:colOff>
      <xdr:row>33</xdr:row>
      <xdr:rowOff>66675</xdr:rowOff>
    </xdr:from>
    <xdr:to>
      <xdr:col>5</xdr:col>
      <xdr:colOff>247650</xdr:colOff>
      <xdr:row>35</xdr:row>
      <xdr:rowOff>108870</xdr:rowOff>
    </xdr:to>
    <xdr:sp macro="" textlink="">
      <xdr:nvSpPr>
        <xdr:cNvPr id="142369" name="Text Box 33"/>
        <xdr:cNvSpPr txBox="1">
          <a:spLocks noChangeArrowheads="1"/>
        </xdr:cNvSpPr>
      </xdr:nvSpPr>
      <xdr:spPr bwMode="auto">
        <a:xfrm>
          <a:off x="619125" y="5410200"/>
          <a:ext cx="2676525" cy="371475"/>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485775</xdr:colOff>
      <xdr:row>40</xdr:row>
      <xdr:rowOff>142875</xdr:rowOff>
    </xdr:from>
    <xdr:to>
      <xdr:col>5</xdr:col>
      <xdr:colOff>466725</xdr:colOff>
      <xdr:row>42</xdr:row>
      <xdr:rowOff>118588</xdr:rowOff>
    </xdr:to>
    <xdr:sp macro="" textlink="">
      <xdr:nvSpPr>
        <xdr:cNvPr id="142370" name="Text Box 34"/>
        <xdr:cNvSpPr txBox="1">
          <a:spLocks noChangeArrowheads="1"/>
        </xdr:cNvSpPr>
      </xdr:nvSpPr>
      <xdr:spPr bwMode="auto">
        <a:xfrm>
          <a:off x="485775" y="6619875"/>
          <a:ext cx="3028950" cy="304800"/>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228600</xdr:colOff>
          <xdr:row>4</xdr:row>
          <xdr:rowOff>104775</xdr:rowOff>
        </xdr:from>
        <xdr:to>
          <xdr:col>11</xdr:col>
          <xdr:colOff>238125</xdr:colOff>
          <xdr:row>6</xdr:row>
          <xdr:rowOff>28575</xdr:rowOff>
        </xdr:to>
        <xdr:sp macro="" textlink="">
          <xdr:nvSpPr>
            <xdr:cNvPr id="142373" name="Drop Down 37" hidden="1">
              <a:extLst>
                <a:ext uri="{63B3BB69-23CF-44E3-9099-C40C66FF867C}">
                  <a14:compatExt spid="_x0000_s142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14</xdr:row>
          <xdr:rowOff>142875</xdr:rowOff>
        </xdr:from>
        <xdr:to>
          <xdr:col>7</xdr:col>
          <xdr:colOff>238125</xdr:colOff>
          <xdr:row>16</xdr:row>
          <xdr:rowOff>76200</xdr:rowOff>
        </xdr:to>
        <xdr:sp macro="" textlink="">
          <xdr:nvSpPr>
            <xdr:cNvPr id="142375" name="Drop Down 39" hidden="1">
              <a:extLst>
                <a:ext uri="{63B3BB69-23CF-44E3-9099-C40C66FF867C}">
                  <a14:compatExt spid="_x0000_s142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133350</xdr:colOff>
      <xdr:row>29</xdr:row>
      <xdr:rowOff>76200</xdr:rowOff>
    </xdr:from>
    <xdr:to>
      <xdr:col>12</xdr:col>
      <xdr:colOff>142875</xdr:colOff>
      <xdr:row>46</xdr:row>
      <xdr:rowOff>66675</xdr:rowOff>
    </xdr:to>
    <xdr:pic>
      <xdr:nvPicPr>
        <xdr:cNvPr id="1724183"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0950" y="4772025"/>
          <a:ext cx="3667125"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161926</xdr:colOff>
      <xdr:row>29</xdr:row>
      <xdr:rowOff>81914</xdr:rowOff>
    </xdr:from>
    <xdr:to>
      <xdr:col>12</xdr:col>
      <xdr:colOff>76200</xdr:colOff>
      <xdr:row>33</xdr:row>
      <xdr:rowOff>9596</xdr:rowOff>
    </xdr:to>
    <xdr:sp macro="" textlink="">
      <xdr:nvSpPr>
        <xdr:cNvPr id="38" name="Text Box 18"/>
        <xdr:cNvSpPr txBox="1">
          <a:spLocks noChangeArrowheads="1"/>
        </xdr:cNvSpPr>
      </xdr:nvSpPr>
      <xdr:spPr bwMode="auto">
        <a:xfrm>
          <a:off x="3819526" y="4791074"/>
          <a:ext cx="3571874"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Importants documents which</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304800</xdr:colOff>
      <xdr:row>33</xdr:row>
      <xdr:rowOff>76200</xdr:rowOff>
    </xdr:from>
    <xdr:to>
      <xdr:col>10</xdr:col>
      <xdr:colOff>238125</xdr:colOff>
      <xdr:row>35</xdr:row>
      <xdr:rowOff>118395</xdr:rowOff>
    </xdr:to>
    <xdr:sp macro="" textlink="">
      <xdr:nvSpPr>
        <xdr:cNvPr id="40" name="Text Box 33"/>
        <xdr:cNvSpPr txBox="1">
          <a:spLocks noChangeArrowheads="1"/>
        </xdr:cNvSpPr>
      </xdr:nvSpPr>
      <xdr:spPr bwMode="auto">
        <a:xfrm>
          <a:off x="3962400" y="54197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Budget Circular 2011/12</a:t>
          </a:r>
        </a:p>
      </xdr:txBody>
    </xdr:sp>
    <xdr:clientData/>
  </xdr:twoCellAnchor>
  <xdr:twoCellAnchor>
    <xdr:from>
      <xdr:col>6</xdr:col>
      <xdr:colOff>304800</xdr:colOff>
      <xdr:row>38</xdr:row>
      <xdr:rowOff>66675</xdr:rowOff>
    </xdr:from>
    <xdr:to>
      <xdr:col>10</xdr:col>
      <xdr:colOff>238125</xdr:colOff>
      <xdr:row>40</xdr:row>
      <xdr:rowOff>108870</xdr:rowOff>
    </xdr:to>
    <xdr:sp macro="" textlink="">
      <xdr:nvSpPr>
        <xdr:cNvPr id="45" name="Text Box 33"/>
        <xdr:cNvSpPr txBox="1">
          <a:spLocks noChangeArrowheads="1"/>
        </xdr:cNvSpPr>
      </xdr:nvSpPr>
      <xdr:spPr bwMode="auto">
        <a:xfrm>
          <a:off x="3962400" y="62198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Dummy Budget Guide</a:t>
          </a:r>
        </a:p>
      </xdr:txBody>
    </xdr:sp>
    <xdr:clientData/>
  </xdr:twoCellAnchor>
  <xdr:twoCellAnchor>
    <xdr:from>
      <xdr:col>6</xdr:col>
      <xdr:colOff>295275</xdr:colOff>
      <xdr:row>41</xdr:row>
      <xdr:rowOff>0</xdr:rowOff>
    </xdr:from>
    <xdr:to>
      <xdr:col>10</xdr:col>
      <xdr:colOff>228600</xdr:colOff>
      <xdr:row>43</xdr:row>
      <xdr:rowOff>47625</xdr:rowOff>
    </xdr:to>
    <xdr:sp macro="" textlink="">
      <xdr:nvSpPr>
        <xdr:cNvPr id="46" name="Text Box 33"/>
        <xdr:cNvSpPr txBox="1">
          <a:spLocks noChangeArrowheads="1"/>
        </xdr:cNvSpPr>
      </xdr:nvSpPr>
      <xdr:spPr bwMode="auto">
        <a:xfrm>
          <a:off x="3952875" y="66389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Funding Compliance Guide</a:t>
          </a:r>
        </a:p>
      </xdr:txBody>
    </xdr:sp>
    <xdr:clientData/>
  </xdr:twoCellAnchor>
  <xdr:twoCellAnchor>
    <xdr:from>
      <xdr:col>6</xdr:col>
      <xdr:colOff>295275</xdr:colOff>
      <xdr:row>43</xdr:row>
      <xdr:rowOff>80010</xdr:rowOff>
    </xdr:from>
    <xdr:to>
      <xdr:col>10</xdr:col>
      <xdr:colOff>228600</xdr:colOff>
      <xdr:row>45</xdr:row>
      <xdr:rowOff>133883</xdr:rowOff>
    </xdr:to>
    <xdr:sp macro="" textlink="">
      <xdr:nvSpPr>
        <xdr:cNvPr id="47" name="Text Box 33"/>
        <xdr:cNvSpPr txBox="1">
          <a:spLocks noChangeArrowheads="1"/>
        </xdr:cNvSpPr>
      </xdr:nvSpPr>
      <xdr:spPr bwMode="auto">
        <a:xfrm>
          <a:off x="3952875" y="7048500"/>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Return Forms</a:t>
          </a:r>
        </a:p>
      </xdr:txBody>
    </xdr:sp>
    <xdr:clientData/>
  </xdr:twoCellAnchor>
  <xdr:twoCellAnchor>
    <xdr:from>
      <xdr:col>6</xdr:col>
      <xdr:colOff>304800</xdr:colOff>
      <xdr:row>36</xdr:row>
      <xdr:rowOff>9525</xdr:rowOff>
    </xdr:from>
    <xdr:to>
      <xdr:col>10</xdr:col>
      <xdr:colOff>238125</xdr:colOff>
      <xdr:row>38</xdr:row>
      <xdr:rowOff>57150</xdr:rowOff>
    </xdr:to>
    <xdr:sp macro="" textlink="">
      <xdr:nvSpPr>
        <xdr:cNvPr id="48" name="Text Box 33"/>
        <xdr:cNvSpPr txBox="1">
          <a:spLocks noChangeArrowheads="1"/>
        </xdr:cNvSpPr>
      </xdr:nvSpPr>
      <xdr:spPr bwMode="auto">
        <a:xfrm>
          <a:off x="3962400" y="58388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MBRR Budget Formats Guide</a:t>
          </a:r>
        </a:p>
      </xdr:txBody>
    </xdr:sp>
    <xdr:clientData/>
  </xdr:twoCellAnchor>
  <xdr:twoCellAnchor>
    <xdr:from>
      <xdr:col>10</xdr:col>
      <xdr:colOff>514350</xdr:colOff>
      <xdr:row>33</xdr:row>
      <xdr:rowOff>47625</xdr:rowOff>
    </xdr:from>
    <xdr:to>
      <xdr:col>12</xdr:col>
      <xdr:colOff>95250</xdr:colOff>
      <xdr:row>35</xdr:row>
      <xdr:rowOff>95250</xdr:rowOff>
    </xdr:to>
    <xdr:sp macro="" textlink="">
      <xdr:nvSpPr>
        <xdr:cNvPr id="50" name="Text Box 233">
          <a:hlinkClick xmlns:r="http://schemas.openxmlformats.org/officeDocument/2006/relationships" r:id="rId4"/>
        </xdr:cNvPr>
        <xdr:cNvSpPr txBox="1">
          <a:spLocks noChangeArrowheads="1"/>
        </xdr:cNvSpPr>
      </xdr:nvSpPr>
      <xdr:spPr bwMode="auto">
        <a:xfrm>
          <a:off x="6610350" y="5391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504825</xdr:colOff>
      <xdr:row>35</xdr:row>
      <xdr:rowOff>104775</xdr:rowOff>
    </xdr:from>
    <xdr:to>
      <xdr:col>12</xdr:col>
      <xdr:colOff>85725</xdr:colOff>
      <xdr:row>37</xdr:row>
      <xdr:rowOff>146970</xdr:rowOff>
    </xdr:to>
    <xdr:sp macro="" textlink="">
      <xdr:nvSpPr>
        <xdr:cNvPr id="51" name="Text Box 233">
          <a:hlinkClick xmlns:r="http://schemas.openxmlformats.org/officeDocument/2006/relationships" r:id="rId5"/>
        </xdr:cNvPr>
        <xdr:cNvSpPr txBox="1">
          <a:spLocks noChangeArrowheads="1"/>
        </xdr:cNvSpPr>
      </xdr:nvSpPr>
      <xdr:spPr bwMode="auto">
        <a:xfrm>
          <a:off x="6600825" y="5772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37</xdr:row>
      <xdr:rowOff>146685</xdr:rowOff>
    </xdr:from>
    <xdr:to>
      <xdr:col>12</xdr:col>
      <xdr:colOff>114300</xdr:colOff>
      <xdr:row>40</xdr:row>
      <xdr:rowOff>38287</xdr:rowOff>
    </xdr:to>
    <xdr:sp macro="" textlink="">
      <xdr:nvSpPr>
        <xdr:cNvPr id="52" name="Text Box 233">
          <a:hlinkClick xmlns:r="http://schemas.openxmlformats.org/officeDocument/2006/relationships" r:id="rId6"/>
        </xdr:cNvPr>
        <xdr:cNvSpPr txBox="1">
          <a:spLocks noChangeArrowheads="1"/>
        </xdr:cNvSpPr>
      </xdr:nvSpPr>
      <xdr:spPr bwMode="auto">
        <a:xfrm>
          <a:off x="6629400" y="6143625"/>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40</xdr:row>
      <xdr:rowOff>95250</xdr:rowOff>
    </xdr:from>
    <xdr:to>
      <xdr:col>12</xdr:col>
      <xdr:colOff>114300</xdr:colOff>
      <xdr:row>42</xdr:row>
      <xdr:rowOff>142875</xdr:rowOff>
    </xdr:to>
    <xdr:sp macro="" textlink="">
      <xdr:nvSpPr>
        <xdr:cNvPr id="53" name="Text Box 233">
          <a:hlinkClick xmlns:r="http://schemas.openxmlformats.org/officeDocument/2006/relationships" r:id="rId7"/>
        </xdr:cNvPr>
        <xdr:cNvSpPr txBox="1">
          <a:spLocks noChangeArrowheads="1"/>
        </xdr:cNvSpPr>
      </xdr:nvSpPr>
      <xdr:spPr bwMode="auto">
        <a:xfrm>
          <a:off x="6629400" y="65722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43</xdr:row>
      <xdr:rowOff>66675</xdr:rowOff>
    </xdr:from>
    <xdr:to>
      <xdr:col>12</xdr:col>
      <xdr:colOff>114300</xdr:colOff>
      <xdr:row>45</xdr:row>
      <xdr:rowOff>108870</xdr:rowOff>
    </xdr:to>
    <xdr:sp macro="" textlink="">
      <xdr:nvSpPr>
        <xdr:cNvPr id="54" name="Text Box 233">
          <a:hlinkClick xmlns:r="http://schemas.openxmlformats.org/officeDocument/2006/relationships" r:id="rId8"/>
        </xdr:cNvPr>
        <xdr:cNvSpPr txBox="1">
          <a:spLocks noChangeArrowheads="1"/>
        </xdr:cNvSpPr>
      </xdr:nvSpPr>
      <xdr:spPr bwMode="auto">
        <a:xfrm>
          <a:off x="6629400" y="70294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161925</xdr:colOff>
          <xdr:row>2</xdr:row>
          <xdr:rowOff>114300</xdr:rowOff>
        </xdr:from>
        <xdr:to>
          <xdr:col>4</xdr:col>
          <xdr:colOff>1866900</xdr:colOff>
          <xdr:row>4</xdr:row>
          <xdr:rowOff>114300</xdr:rowOff>
        </xdr:to>
        <xdr:sp macro="" textlink="">
          <xdr:nvSpPr>
            <xdr:cNvPr id="75788" name="Button 12" hidden="1">
              <a:extLst>
                <a:ext uri="{63B3BB69-23CF-44E3-9099-C40C66FF867C}">
                  <a14:compatExt spid="_x0000_s7578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512445</xdr:colOff>
      <xdr:row>0</xdr:row>
      <xdr:rowOff>19050</xdr:rowOff>
    </xdr:from>
    <xdr:to>
      <xdr:col>2</xdr:col>
      <xdr:colOff>3184943</xdr:colOff>
      <xdr:row>0</xdr:row>
      <xdr:rowOff>438150</xdr:rowOff>
    </xdr:to>
    <xdr:sp macro="" textlink="">
      <xdr:nvSpPr>
        <xdr:cNvPr id="2" name="Text Box 18"/>
        <xdr:cNvSpPr txBox="1">
          <a:spLocks noChangeArrowheads="1"/>
        </xdr:cNvSpPr>
      </xdr:nvSpPr>
      <xdr:spPr bwMode="auto">
        <a:xfrm>
          <a:off x="1114425" y="19050"/>
          <a:ext cx="714375" cy="1428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xdr:cNvSpPr txBox="1">
          <a:spLocks noChangeArrowheads="1"/>
        </xdr:cNvSpPr>
      </xdr:nvSpPr>
      <xdr:spPr bwMode="auto">
        <a:xfrm>
          <a:off x="0" y="9525"/>
          <a:ext cx="609600" cy="152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xdr:cNvSpPr txBox="1">
          <a:spLocks noChangeArrowheads="1"/>
        </xdr:cNvSpPr>
      </xdr:nvSpPr>
      <xdr:spPr bwMode="auto">
        <a:xfrm>
          <a:off x="1828800" y="0"/>
          <a:ext cx="1219200" cy="161924"/>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046117"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50</xdr:row>
      <xdr:rowOff>0</xdr:rowOff>
    </xdr:from>
    <xdr:to>
      <xdr:col>20</xdr:col>
      <xdr:colOff>9525</xdr:colOff>
      <xdr:row>74</xdr:row>
      <xdr:rowOff>142875</xdr:rowOff>
    </xdr:to>
    <xdr:graphicFrame macro="">
      <xdr:nvGraphicFramePr>
        <xdr:cNvPr id="104728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75</xdr:row>
      <xdr:rowOff>9525</xdr:rowOff>
    </xdr:from>
    <xdr:to>
      <xdr:col>20</xdr:col>
      <xdr:colOff>0</xdr:colOff>
      <xdr:row>100</xdr:row>
      <xdr:rowOff>0</xdr:rowOff>
    </xdr:to>
    <xdr:graphicFrame macro="">
      <xdr:nvGraphicFramePr>
        <xdr:cNvPr id="104729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100</xdr:row>
      <xdr:rowOff>19050</xdr:rowOff>
    </xdr:from>
    <xdr:to>
      <xdr:col>20</xdr:col>
      <xdr:colOff>9525</xdr:colOff>
      <xdr:row>125</xdr:row>
      <xdr:rowOff>0</xdr:rowOff>
    </xdr:to>
    <xdr:graphicFrame macro="">
      <xdr:nvGraphicFramePr>
        <xdr:cNvPr id="104729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0</xdr:row>
      <xdr:rowOff>0</xdr:rowOff>
    </xdr:from>
    <xdr:to>
      <xdr:col>19</xdr:col>
      <xdr:colOff>600075</xdr:colOff>
      <xdr:row>24</xdr:row>
      <xdr:rowOff>142875</xdr:rowOff>
    </xdr:to>
    <xdr:graphicFrame macro="">
      <xdr:nvGraphicFramePr>
        <xdr:cNvPr id="104729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24</xdr:row>
      <xdr:rowOff>152400</xdr:rowOff>
    </xdr:from>
    <xdr:to>
      <xdr:col>20</xdr:col>
      <xdr:colOff>0</xdr:colOff>
      <xdr:row>49</xdr:row>
      <xdr:rowOff>152400</xdr:rowOff>
    </xdr:to>
    <xdr:graphicFrame macro="">
      <xdr:nvGraphicFramePr>
        <xdr:cNvPr id="104729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0.07522</cdr:x>
      <cdr:y>0.01224</cdr:y>
    </cdr:from>
    <cdr:to>
      <cdr:x>0.97154</cdr:x>
      <cdr:y>0.06104</cdr:y>
    </cdr:to>
    <cdr:sp macro="" textlink="SC71charts!$A$51">
      <cdr:nvSpPr>
        <cdr:cNvPr id="131073" name="Text Box 1"/>
        <cdr:cNvSpPr txBox="1">
          <a:spLocks xmlns:a="http://schemas.openxmlformats.org/drawingml/2006/main" noChangeArrowheads="1" noTextEdit="1"/>
        </cdr:cNvSpPr>
      </cdr:nvSpPr>
      <cdr:spPr bwMode="auto">
        <a:xfrm xmlns:a="http://schemas.openxmlformats.org/drawingml/2006/main">
          <a:off x="460146" y="50800"/>
          <a:ext cx="5490058"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EA436304-C007-4412-A70E-4ABD8BCFF6FD}" type="TxLink">
            <a:rPr lang="en-GB" sz="1200" b="1" i="0" u="none" strike="noStrike" baseline="0">
              <a:solidFill>
                <a:srgbClr val="000000"/>
              </a:solidFill>
              <a:latin typeface="Arial Narrow"/>
            </a:rPr>
            <a:pPr algn="ctr" rtl="0">
              <a:defRPr sz="1000"/>
            </a:pPr>
            <a:t>Chart C3 Aged Consumer Debtors Analysis</a:t>
          </a:fld>
          <a:endParaRPr lang="en-GB" sz="1200" b="1" i="0" u="none" strike="noStrike" baseline="0">
            <a:solidFill>
              <a:srgbClr val="000000"/>
            </a:solidFill>
            <a:latin typeface="Arial Narrow"/>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0.0553</cdr:x>
      <cdr:y>0.01271</cdr:y>
    </cdr:from>
    <cdr:to>
      <cdr:x>0.98801</cdr:x>
      <cdr:y>0.06052</cdr:y>
    </cdr:to>
    <cdr:sp macro="" textlink="SC71charts!$A$76">
      <cdr:nvSpPr>
        <cdr:cNvPr id="132097" name="Text Box 1"/>
        <cdr:cNvSpPr txBox="1">
          <a:spLocks xmlns:a="http://schemas.openxmlformats.org/drawingml/2006/main" noChangeArrowheads="1" noTextEdit="1"/>
        </cdr:cNvSpPr>
      </cdr:nvSpPr>
      <cdr:spPr bwMode="auto">
        <a:xfrm xmlns:a="http://schemas.openxmlformats.org/drawingml/2006/main">
          <a:off x="339293" y="50800"/>
          <a:ext cx="5703751" cy="2001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E91307E-79A8-4E3F-B270-C2C4B40BE016}" type="TxLink">
            <a:rPr lang="en-GB" sz="1200" b="1" i="0" u="none" strike="noStrike" baseline="0">
              <a:solidFill>
                <a:srgbClr val="000000"/>
              </a:solidFill>
              <a:latin typeface="Arial Narrow"/>
            </a:rPr>
            <a:pPr algn="ctr" rtl="0">
              <a:defRPr sz="1000"/>
            </a:pPr>
            <a:t>Chart C4 Consumer Debtors (total by Debtor Customer Category)</a:t>
          </a:fld>
          <a:endParaRPr lang="en-GB" sz="1200" b="1" i="0" u="none" strike="noStrike" baseline="0">
            <a:solidFill>
              <a:srgbClr val="000000"/>
            </a:solidFill>
            <a:latin typeface="Arial Narrow"/>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0.13429</cdr:x>
      <cdr:y>0.01227</cdr:y>
    </cdr:from>
    <cdr:to>
      <cdr:x>0.91837</cdr:x>
      <cdr:y>0.07422</cdr:y>
    </cdr:to>
    <cdr:sp macro="" textlink="SC71charts!$A$101">
      <cdr:nvSpPr>
        <cdr:cNvPr id="133121" name="Text Box 1"/>
        <cdr:cNvSpPr txBox="1">
          <a:spLocks xmlns:a="http://schemas.openxmlformats.org/drawingml/2006/main" noChangeArrowheads="1" noTextEdit="1"/>
        </cdr:cNvSpPr>
      </cdr:nvSpPr>
      <cdr:spPr bwMode="auto">
        <a:xfrm xmlns:a="http://schemas.openxmlformats.org/drawingml/2006/main">
          <a:off x="824344" y="50800"/>
          <a:ext cx="4806811" cy="2474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4CD8040-B1A0-4DE9-A1EA-0646DF4ED38F}" type="TxLink">
            <a:rPr lang="en-GB" sz="1200" b="1" i="0" u="none" strike="noStrike" baseline="0">
              <a:solidFill>
                <a:srgbClr val="000000"/>
              </a:solidFill>
              <a:latin typeface="Arial Narrow"/>
            </a:rPr>
            <a:pPr algn="ctr" rtl="0">
              <a:defRPr sz="1000"/>
            </a:pPr>
            <a:t>Chart C5 Aged Creditors Analysis</a:t>
          </a:fld>
          <a:endParaRPr lang="en-GB" sz="1200" b="1" i="0" u="none" strike="noStrike" baseline="0">
            <a:solidFill>
              <a:srgbClr val="000000"/>
            </a:solidFill>
            <a:latin typeface="Arial Narrow"/>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0.16875</cdr:x>
      <cdr:y>0.01248</cdr:y>
    </cdr:from>
    <cdr:to>
      <cdr:x>0.90803</cdr:x>
      <cdr:y>0.06174</cdr:y>
    </cdr:to>
    <cdr:sp macro="" textlink="SC71charts!$A$1">
      <cdr:nvSpPr>
        <cdr:cNvPr id="122882" name="Text Box 2"/>
        <cdr:cNvSpPr txBox="1">
          <a:spLocks xmlns:a="http://schemas.openxmlformats.org/drawingml/2006/main" noChangeArrowheads="1" noTextEdit="1"/>
        </cdr:cNvSpPr>
      </cdr:nvSpPr>
      <cdr:spPr bwMode="auto">
        <a:xfrm xmlns:a="http://schemas.openxmlformats.org/drawingml/2006/main">
          <a:off x="1034923" y="50800"/>
          <a:ext cx="4500563"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9D16F417-FA11-474B-B6C2-7C1B3A9B7DB5}" type="TxLink">
            <a:rPr lang="en-GB" sz="1200" b="1" i="0" u="none" strike="noStrike" baseline="0">
              <a:solidFill>
                <a:srgbClr val="000000"/>
              </a:solidFill>
              <a:latin typeface="Arial Narrow"/>
            </a:rPr>
            <a:pPr algn="ctr" rtl="0">
              <a:defRPr sz="1000"/>
            </a:pPr>
            <a:t>Chart C1 2020/21 Capital Expenditure Monthly Trend: actual v target</a:t>
          </a:fld>
          <a:endParaRPr lang="en-GB" sz="1200" b="1" i="0" u="none" strike="noStrike" baseline="0">
            <a:solidFill>
              <a:srgbClr val="000000"/>
            </a:solidFill>
            <a:latin typeface="Arial Narrow"/>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efreshError="1">
        <row r="34">
          <cell r="X34">
            <v>2012</v>
          </cell>
        </row>
        <row r="36">
          <cell r="X36" t="str">
            <v>2012/13</v>
          </cell>
        </row>
      </sheetData>
      <sheetData sheetId="2" refreshError="1">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cell r="Z16" t="str">
            <v>Infrastructure - Road transport</v>
          </cell>
          <cell r="AA16" t="str">
            <v>Roads, Pavements &amp; Bridges</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cell r="Z17" t="str">
            <v>Infrastructure - Electricity</v>
          </cell>
          <cell r="AA17" t="str">
            <v>Storm water</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cell r="Z18" t="str">
            <v>Infrastructure - Water</v>
          </cell>
          <cell r="AA18" t="str">
            <v>Generation</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cell r="Z19" t="str">
            <v>Infrastructure - Sanitation</v>
          </cell>
          <cell r="AA19" t="str">
            <v>Transmission &amp; Reticulation</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cell r="Z20" t="str">
            <v>Infrastructure - Other</v>
          </cell>
          <cell r="AA20" t="str">
            <v>Street Lighting</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cell r="Z21" t="str">
            <v>Community</v>
          </cell>
          <cell r="AA21" t="str">
            <v>Dams &amp; Reservoirs</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cell r="Z22" t="str">
            <v>Heritage Assets</v>
          </cell>
          <cell r="AA22" t="str">
            <v>Water purification</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cell r="Z23" t="str">
            <v>Investment Properties</v>
          </cell>
          <cell r="AA23" t="str">
            <v>Reticulation</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cell r="Z24" t="str">
            <v>Other Assets</v>
          </cell>
          <cell r="AA24" t="str">
            <v>Sewerage purification</v>
          </cell>
        </row>
        <row r="25">
          <cell r="Z25" t="str">
            <v>Agricultural assets</v>
          </cell>
          <cell r="AA25" t="str">
            <v>Waste Management</v>
          </cell>
        </row>
        <row r="26">
          <cell r="Z26" t="str">
            <v>Biological assets</v>
          </cell>
          <cell r="AA26" t="str">
            <v>Transportation</v>
          </cell>
        </row>
        <row r="27">
          <cell r="Z27" t="str">
            <v>Intangibles</v>
          </cell>
          <cell r="AA27" t="str">
            <v>Gas</v>
          </cell>
        </row>
        <row r="28">
          <cell r="Z28" t="str">
            <v>Other</v>
          </cell>
          <cell r="AA28" t="str">
            <v>Parks &amp; gardens</v>
          </cell>
        </row>
        <row r="29">
          <cell r="AA29" t="str">
            <v>Sportsfields &amp; stadia</v>
          </cell>
        </row>
        <row r="30">
          <cell r="AA30" t="str">
            <v>Swimming pools</v>
          </cell>
        </row>
        <row r="31">
          <cell r="AA31" t="str">
            <v>Community halls</v>
          </cell>
        </row>
        <row r="32">
          <cell r="AA32" t="str">
            <v>Libraries</v>
          </cell>
        </row>
        <row r="33">
          <cell r="AA33" t="str">
            <v>Recreational facilities</v>
          </cell>
        </row>
        <row r="34">
          <cell r="AA34" t="str">
            <v>Fire, safety &amp; emergency</v>
          </cell>
        </row>
        <row r="35">
          <cell r="AA35" t="str">
            <v>Security and policing</v>
          </cell>
        </row>
        <row r="36">
          <cell r="AA36" t="str">
            <v>Buses</v>
          </cell>
        </row>
        <row r="37">
          <cell r="AA37" t="str">
            <v>Clinics</v>
          </cell>
        </row>
        <row r="38">
          <cell r="AA38" t="str">
            <v>Museums &amp; Art Galleries</v>
          </cell>
        </row>
        <row r="39">
          <cell r="AA39" t="str">
            <v>Cemeteries</v>
          </cell>
        </row>
        <row r="40">
          <cell r="AA40" t="str">
            <v>Social rental housing</v>
          </cell>
        </row>
        <row r="41">
          <cell r="AA41" t="str">
            <v>Buildings</v>
          </cell>
        </row>
        <row r="42">
          <cell r="AA42" t="str">
            <v>Housing development</v>
          </cell>
        </row>
        <row r="43">
          <cell r="AA43" t="str">
            <v>General vehicles</v>
          </cell>
        </row>
        <row r="44">
          <cell r="AA44" t="str">
            <v>Specialised vehicles - Refuse</v>
          </cell>
        </row>
        <row r="45">
          <cell r="AA45" t="str">
            <v>Specialised vehicles - Fire</v>
          </cell>
        </row>
        <row r="46">
          <cell r="AA46" t="str">
            <v>Specialised vehicles - Conservancy</v>
          </cell>
        </row>
        <row r="47">
          <cell r="AA47" t="str">
            <v>Specialised vehicles - Ambulances</v>
          </cell>
        </row>
        <row r="48">
          <cell r="AA48" t="str">
            <v>Plant &amp; equipment</v>
          </cell>
        </row>
        <row r="49">
          <cell r="AA49" t="str">
            <v>Computers - hardware/equipment</v>
          </cell>
        </row>
        <row r="50">
          <cell r="AA50" t="str">
            <v>Furniture and other office equipment</v>
          </cell>
        </row>
        <row r="51">
          <cell r="AA51" t="str">
            <v>Abattoirs</v>
          </cell>
        </row>
        <row r="52">
          <cell r="AA52" t="str">
            <v>Markets</v>
          </cell>
        </row>
        <row r="53">
          <cell r="AA53" t="str">
            <v>Civic Land and Buildings</v>
          </cell>
        </row>
        <row r="54">
          <cell r="AA54" t="str">
            <v>Other Buildings</v>
          </cell>
        </row>
        <row r="55">
          <cell r="AA55" t="str">
            <v>Other Land</v>
          </cell>
        </row>
        <row r="56">
          <cell r="AA56" t="str">
            <v>Surplus Assets - (Investment or Inventory)</v>
          </cell>
        </row>
        <row r="57">
          <cell r="AA57" t="str">
            <v>Computers - software &amp; programming</v>
          </cell>
        </row>
        <row r="58">
          <cell r="AA58"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 val="START"/>
      <sheetName val="Instructions"/>
      <sheetName val="Template names"/>
      <sheetName val="Lookup and lists"/>
      <sheetName val="Org structure"/>
      <sheetName val="Contacts"/>
      <sheetName val="C1-Sum"/>
      <sheetName val="C2-FinPerf SC"/>
      <sheetName val="C2C"/>
      <sheetName val="C3-FinPerf V"/>
      <sheetName val="C3C"/>
      <sheetName val="C4-FinPerf RE"/>
      <sheetName val="C5-Capex"/>
      <sheetName val="C5C"/>
      <sheetName val="C6-FinPos"/>
      <sheetName val="C7-CFlow"/>
      <sheetName val="SC1"/>
      <sheetName val="SC2"/>
      <sheetName val="SC3"/>
      <sheetName val="SC4"/>
      <sheetName val="SC5"/>
      <sheetName val="SC6"/>
      <sheetName val="SC7(1)"/>
      <sheetName val="SC7(2)"/>
      <sheetName val="SC8"/>
      <sheetName val="SC9"/>
      <sheetName val="SC10"/>
      <sheetName val="SC11"/>
      <sheetName val="SC12"/>
      <sheetName val="SC13a"/>
      <sheetName val="SC13b"/>
      <sheetName val="SC13c"/>
      <sheetName val="SC13d"/>
      <sheetName val="SC71chart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09">
          <cell r="B109" t="str">
            <v>Consolidated Service (basic) delivery measurement</v>
          </cell>
        </row>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
  <sheetViews>
    <sheetView showGridLines="0" zoomScaleNormal="100" workbookViewId="0"/>
  </sheetViews>
  <sheetFormatPr defaultRowHeight="12.75" x14ac:dyDescent="0.2"/>
  <sheetData>
    <row r="1" spans="1:1" x14ac:dyDescent="0.2">
      <c r="A1" t="str">
        <f>muni</f>
        <v>KZN225 Msunduzi</v>
      </c>
    </row>
  </sheetData>
  <sheetProtection sheet="1" objects="1" scenarios="1"/>
  <phoneticPr fontId="2"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indexed="44"/>
    <pageSetUpPr fitToPage="1"/>
  </sheetPr>
  <dimension ref="A1:X79"/>
  <sheetViews>
    <sheetView showGridLines="0" showZeros="0" zoomScaleNormal="100" workbookViewId="0">
      <pane xSplit="2" ySplit="4" topLeftCell="C11" activePane="bottomRight" state="frozen"/>
      <selection pane="topRight"/>
      <selection pane="bottomLeft"/>
      <selection pane="bottomRight" sqref="A1:XFD1"/>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6384" width="9.140625" style="25"/>
  </cols>
  <sheetData>
    <row r="1" spans="1:24" ht="13.5" x14ac:dyDescent="0.25">
      <c r="A1" s="1044" t="str">
        <f>muni&amp; " - "&amp;S71C&amp; " - "&amp;date</f>
        <v>KZN225 Msunduzi - Table C3 Consolidated Monthly Budget Statement - Financial Performance (revenue and expenditure by municipal vote)  - Mid-Year Assessment</v>
      </c>
      <c r="B1" s="1044"/>
      <c r="C1" s="1044"/>
      <c r="D1" s="1044"/>
      <c r="E1" s="1044"/>
      <c r="F1" s="1044"/>
      <c r="G1" s="1044"/>
      <c r="H1" s="1044"/>
      <c r="I1" s="1044"/>
      <c r="J1" s="1044"/>
      <c r="K1" s="1044"/>
    </row>
    <row r="2" spans="1:24" x14ac:dyDescent="0.25">
      <c r="A2" s="20" t="str">
        <f>Vdesc</f>
        <v>Vote Description</v>
      </c>
      <c r="B2" s="1035" t="str">
        <f>head27</f>
        <v>Ref</v>
      </c>
      <c r="C2" s="142" t="str">
        <f>Head1</f>
        <v>2019/20</v>
      </c>
      <c r="D2" s="1037" t="str">
        <f>Head2</f>
        <v>Budget Year 2020/21</v>
      </c>
      <c r="E2" s="1038"/>
      <c r="F2" s="1038"/>
      <c r="G2" s="1038"/>
      <c r="H2" s="1038"/>
      <c r="I2" s="1038"/>
      <c r="J2" s="1038"/>
      <c r="K2" s="1039"/>
    </row>
    <row r="3" spans="1:24" ht="25.5" x14ac:dyDescent="0.25">
      <c r="A3" s="168"/>
      <c r="B3" s="1046"/>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24" x14ac:dyDescent="0.25">
      <c r="A4" s="34" t="s">
        <v>667</v>
      </c>
      <c r="B4" s="1047"/>
      <c r="C4" s="223"/>
      <c r="D4" s="240"/>
      <c r="E4" s="241"/>
      <c r="F4" s="82"/>
      <c r="G4" s="82"/>
      <c r="H4" s="82"/>
      <c r="I4" s="82"/>
      <c r="J4" s="242" t="s">
        <v>575</v>
      </c>
      <c r="K4" s="223"/>
      <c r="L4" s="67"/>
      <c r="M4" s="67"/>
      <c r="N4" s="67"/>
      <c r="O4" s="67"/>
      <c r="P4" s="67"/>
      <c r="Q4" s="67"/>
      <c r="R4" s="67"/>
      <c r="S4" s="67"/>
      <c r="T4" s="67"/>
      <c r="U4" s="67"/>
      <c r="V4" s="67"/>
      <c r="W4" s="67"/>
      <c r="X4" s="67"/>
    </row>
    <row r="5" spans="1:24" ht="11.25" customHeight="1" x14ac:dyDescent="0.25">
      <c r="A5" s="35" t="s">
        <v>749</v>
      </c>
      <c r="B5" s="169">
        <v>1</v>
      </c>
      <c r="C5" s="239"/>
      <c r="D5" s="237"/>
      <c r="E5" s="238"/>
      <c r="F5" s="238"/>
      <c r="G5" s="238"/>
      <c r="H5" s="238"/>
      <c r="I5" s="238"/>
      <c r="J5" s="714"/>
      <c r="K5" s="239"/>
      <c r="L5" s="167"/>
      <c r="M5" s="167"/>
      <c r="N5" s="167"/>
      <c r="O5" s="167"/>
      <c r="P5" s="167"/>
      <c r="Q5" s="167"/>
      <c r="R5" s="167"/>
      <c r="S5" s="167"/>
      <c r="T5" s="167"/>
      <c r="U5" s="167"/>
      <c r="V5" s="167"/>
      <c r="W5" s="167"/>
      <c r="X5" s="67"/>
    </row>
    <row r="6" spans="1:24" ht="12.75" customHeight="1" x14ac:dyDescent="0.25">
      <c r="A6" s="407" t="str">
        <f>'Org structure'!A2</f>
        <v>Vote 1 - City Manager</v>
      </c>
      <c r="B6" s="169"/>
      <c r="C6" s="134">
        <f>'C3C'!C6</f>
        <v>0</v>
      </c>
      <c r="D6" s="46">
        <f>'C3C'!D6</f>
        <v>4447530.0133999996</v>
      </c>
      <c r="E6" s="44">
        <f>'C3C'!E6</f>
        <v>4447530.0133999996</v>
      </c>
      <c r="F6" s="44">
        <f>'C3C'!F6</f>
        <v>3000</v>
      </c>
      <c r="G6" s="44">
        <f>'C3C'!G6</f>
        <v>3000</v>
      </c>
      <c r="H6" s="44">
        <f>'C3C'!H6</f>
        <v>2223765.0066999998</v>
      </c>
      <c r="I6" s="44">
        <f>G6-H6</f>
        <v>-2220765.0066999998</v>
      </c>
      <c r="J6" s="715">
        <f>IF(I6=0,"",I6/H6)</f>
        <v>-0.99865093659133886</v>
      </c>
      <c r="K6" s="144">
        <f>'C3C'!K6</f>
        <v>4447530.0133999996</v>
      </c>
      <c r="L6" s="167"/>
      <c r="M6" s="167"/>
      <c r="N6" s="167"/>
      <c r="O6" s="167"/>
      <c r="P6" s="167"/>
      <c r="Q6" s="167"/>
      <c r="R6" s="167"/>
      <c r="S6" s="167"/>
      <c r="T6" s="167"/>
      <c r="U6" s="167"/>
      <c r="V6" s="167"/>
      <c r="W6" s="167"/>
      <c r="X6" s="67"/>
    </row>
    <row r="7" spans="1:24" ht="12.75" customHeight="1" x14ac:dyDescent="0.25">
      <c r="A7" s="407" t="str">
        <f>'Org structure'!A3</f>
        <v>Vote 2 - City Finance</v>
      </c>
      <c r="B7" s="169"/>
      <c r="C7" s="134">
        <f>'C3C'!C17</f>
        <v>0</v>
      </c>
      <c r="D7" s="46">
        <f>'C3C'!D17</f>
        <v>2396133945.7871332</v>
      </c>
      <c r="E7" s="44">
        <f>'C3C'!E17</f>
        <v>2485131945.7871332</v>
      </c>
      <c r="F7" s="44">
        <f>'C3C'!F17</f>
        <v>257653600.01999998</v>
      </c>
      <c r="G7" s="44">
        <f>'C3C'!G17</f>
        <v>974191573.89999998</v>
      </c>
      <c r="H7" s="44">
        <f>'C3C'!H17</f>
        <v>1242565972.8935666</v>
      </c>
      <c r="I7" s="44">
        <f t="shared" ref="I7:I20" si="0">G7-H7</f>
        <v>-268374398.99356663</v>
      </c>
      <c r="J7" s="715">
        <f t="shared" ref="J7:J21" si="1">IF(I7=0,"",I7/H7)</f>
        <v>-0.21598402406642642</v>
      </c>
      <c r="K7" s="144">
        <f>'C3C'!K17</f>
        <v>2485131945.7871332</v>
      </c>
      <c r="L7" s="167"/>
      <c r="M7" s="167"/>
      <c r="N7" s="167"/>
      <c r="O7" s="167"/>
      <c r="P7" s="167"/>
      <c r="Q7" s="167"/>
      <c r="R7" s="167"/>
      <c r="S7" s="167"/>
      <c r="T7" s="167"/>
      <c r="U7" s="167"/>
      <c r="V7" s="167"/>
      <c r="W7" s="167"/>
      <c r="X7" s="67"/>
    </row>
    <row r="8" spans="1:24" ht="12.75" customHeight="1" x14ac:dyDescent="0.25">
      <c r="A8" s="407" t="str">
        <f>'Org structure'!A4</f>
        <v>Vote 3 - Community Services and Social Equity</v>
      </c>
      <c r="B8" s="169"/>
      <c r="C8" s="134">
        <f>'C3C'!C28</f>
        <v>0</v>
      </c>
      <c r="D8" s="46">
        <f>'C3C'!D28</f>
        <v>214664344.29579172</v>
      </c>
      <c r="E8" s="44">
        <f>'C3C'!E28</f>
        <v>214664344.29579172</v>
      </c>
      <c r="F8" s="44">
        <f>'C3C'!F28</f>
        <v>21794803.909999996</v>
      </c>
      <c r="G8" s="44">
        <f>'C3C'!G28</f>
        <v>101038640.50999999</v>
      </c>
      <c r="H8" s="44">
        <f>'C3C'!H28</f>
        <v>107332172.14789586</v>
      </c>
      <c r="I8" s="44">
        <f t="shared" si="0"/>
        <v>-6293531.6378958672</v>
      </c>
      <c r="J8" s="715">
        <f t="shared" si="1"/>
        <v>-5.8636022284388717E-2</v>
      </c>
      <c r="K8" s="144">
        <f>'C3C'!K28</f>
        <v>214664344.29579172</v>
      </c>
      <c r="L8" s="167"/>
      <c r="M8" s="167"/>
      <c r="N8" s="167"/>
      <c r="O8" s="167"/>
      <c r="P8" s="167"/>
      <c r="Q8" s="167"/>
      <c r="R8" s="167"/>
      <c r="S8" s="167"/>
      <c r="T8" s="167"/>
      <c r="U8" s="167"/>
      <c r="V8" s="167"/>
      <c r="W8" s="167"/>
      <c r="X8" s="67"/>
    </row>
    <row r="9" spans="1:24" ht="12.75" customHeight="1" x14ac:dyDescent="0.25">
      <c r="A9" s="407" t="str">
        <f>'Org structure'!A5</f>
        <v>Vote 4 - Corporate Services</v>
      </c>
      <c r="B9" s="169"/>
      <c r="C9" s="134">
        <f>'C3C'!C39</f>
        <v>0</v>
      </c>
      <c r="D9" s="46">
        <f>'C3C'!D39</f>
        <v>19239180.686499998</v>
      </c>
      <c r="E9" s="44">
        <f>'C3C'!E39</f>
        <v>19239180.686499998</v>
      </c>
      <c r="F9" s="44">
        <f>'C3C'!F39</f>
        <v>1128943.8600000001</v>
      </c>
      <c r="G9" s="44">
        <f>'C3C'!G39</f>
        <v>1525431.1800000002</v>
      </c>
      <c r="H9" s="44">
        <f>'C3C'!H39</f>
        <v>9619590.343249999</v>
      </c>
      <c r="I9" s="44">
        <f t="shared" si="0"/>
        <v>-8094159.1632499993</v>
      </c>
      <c r="J9" s="715">
        <f t="shared" si="1"/>
        <v>-0.84142451751384773</v>
      </c>
      <c r="K9" s="144">
        <f>'C3C'!K39</f>
        <v>19239180.686499998</v>
      </c>
      <c r="L9" s="167"/>
      <c r="M9" s="167"/>
      <c r="N9" s="167"/>
      <c r="O9" s="167"/>
      <c r="P9" s="167"/>
      <c r="Q9" s="167"/>
      <c r="R9" s="167"/>
      <c r="S9" s="167"/>
      <c r="T9" s="167"/>
      <c r="U9" s="167"/>
      <c r="V9" s="167"/>
      <c r="W9" s="167"/>
      <c r="X9" s="67"/>
    </row>
    <row r="10" spans="1:24" ht="12.75" customHeight="1" x14ac:dyDescent="0.25">
      <c r="A10" s="407" t="str">
        <f>'Org structure'!A6</f>
        <v>Vote 5 - Infrastructure Services</v>
      </c>
      <c r="B10" s="169"/>
      <c r="C10" s="134">
        <f>'C3C'!C50</f>
        <v>0</v>
      </c>
      <c r="D10" s="46">
        <f>'C3C'!D50</f>
        <v>3376346372.7014918</v>
      </c>
      <c r="E10" s="44">
        <f>'C3C'!E50</f>
        <v>3376346372.7014918</v>
      </c>
      <c r="F10" s="44">
        <f>'C3C'!F50</f>
        <v>438761442.25999999</v>
      </c>
      <c r="G10" s="44">
        <f>'C3C'!G50</f>
        <v>2155712458.9900002</v>
      </c>
      <c r="H10" s="44">
        <f>'C3C'!H50</f>
        <v>1688173186.3507459</v>
      </c>
      <c r="I10" s="44">
        <f t="shared" si="0"/>
        <v>467539272.63925433</v>
      </c>
      <c r="J10" s="715">
        <f t="shared" si="1"/>
        <v>0.27694982743442015</v>
      </c>
      <c r="K10" s="144">
        <f>'C3C'!K50</f>
        <v>3376346372.7014918</v>
      </c>
      <c r="L10" s="167"/>
      <c r="M10" s="167"/>
      <c r="N10" s="167"/>
      <c r="O10" s="167"/>
      <c r="P10" s="167"/>
      <c r="Q10" s="167"/>
      <c r="R10" s="167"/>
      <c r="S10" s="167"/>
      <c r="T10" s="167"/>
      <c r="U10" s="167"/>
      <c r="V10" s="167"/>
      <c r="W10" s="167"/>
      <c r="X10" s="67"/>
    </row>
    <row r="11" spans="1:24" ht="12.75" customHeight="1" x14ac:dyDescent="0.25">
      <c r="A11" s="407" t="str">
        <f>'Org structure'!A7</f>
        <v>Vote 6 - Sustainable Development and City Enterprises</v>
      </c>
      <c r="B11" s="169"/>
      <c r="C11" s="134">
        <f>'C3C'!C61</f>
        <v>0</v>
      </c>
      <c r="D11" s="46">
        <f>'C3C'!D61</f>
        <v>432870465.38774735</v>
      </c>
      <c r="E11" s="44">
        <f>'C3C'!E61</f>
        <v>432870465.38774735</v>
      </c>
      <c r="F11" s="44">
        <f>'C3C'!F61</f>
        <v>14156961.539999999</v>
      </c>
      <c r="G11" s="44">
        <f>'C3C'!G61</f>
        <v>75419583.409999996</v>
      </c>
      <c r="H11" s="44">
        <f>'C3C'!H61</f>
        <v>216435232.69387367</v>
      </c>
      <c r="I11" s="44">
        <f t="shared" si="0"/>
        <v>-141015649.28387368</v>
      </c>
      <c r="J11" s="715">
        <f t="shared" si="1"/>
        <v>-0.65153740233840041</v>
      </c>
      <c r="K11" s="144">
        <f>'C3C'!K61</f>
        <v>432870465.38774735</v>
      </c>
      <c r="L11" s="167"/>
      <c r="M11" s="167"/>
      <c r="N11" s="167"/>
      <c r="O11" s="167"/>
      <c r="P11" s="167"/>
      <c r="Q11" s="167"/>
      <c r="R11" s="167"/>
      <c r="S11" s="167"/>
      <c r="T11" s="167"/>
      <c r="U11" s="167"/>
      <c r="V11" s="167"/>
      <c r="W11" s="167"/>
      <c r="X11" s="67"/>
    </row>
    <row r="12" spans="1:24" ht="11.25" customHeight="1" x14ac:dyDescent="0.25">
      <c r="A12" s="407" t="str">
        <f>'Org structure'!A8</f>
        <v>Vote 7 - [NAME OF VOTE 7]</v>
      </c>
      <c r="B12" s="169"/>
      <c r="C12" s="134">
        <f>'C3C'!C72</f>
        <v>0</v>
      </c>
      <c r="D12" s="46">
        <f>'C3C'!D72</f>
        <v>0</v>
      </c>
      <c r="E12" s="44">
        <f>'C3C'!E72</f>
        <v>0</v>
      </c>
      <c r="F12" s="44">
        <f>'C3C'!F72</f>
        <v>0</v>
      </c>
      <c r="G12" s="44">
        <f>'C3C'!G72</f>
        <v>0</v>
      </c>
      <c r="H12" s="44">
        <f>'C3C'!H72</f>
        <v>0</v>
      </c>
      <c r="I12" s="44">
        <f t="shared" si="0"/>
        <v>0</v>
      </c>
      <c r="J12" s="715" t="str">
        <f t="shared" si="1"/>
        <v/>
      </c>
      <c r="K12" s="144">
        <f>'C3C'!K72</f>
        <v>0</v>
      </c>
      <c r="L12" s="167"/>
      <c r="M12" s="167"/>
      <c r="N12" s="167"/>
      <c r="O12" s="167"/>
      <c r="P12" s="167"/>
      <c r="Q12" s="167"/>
      <c r="R12" s="167"/>
      <c r="S12" s="167"/>
      <c r="T12" s="167"/>
      <c r="U12" s="167"/>
      <c r="V12" s="167"/>
      <c r="W12" s="167"/>
      <c r="X12" s="67"/>
    </row>
    <row r="13" spans="1:24" ht="11.25" customHeight="1" x14ac:dyDescent="0.25">
      <c r="A13" s="407" t="str">
        <f>'Org structure'!A9</f>
        <v>Vote 8 - [NAME OF VOTE 8]</v>
      </c>
      <c r="B13" s="169"/>
      <c r="C13" s="134">
        <f>'C3C'!C83</f>
        <v>0</v>
      </c>
      <c r="D13" s="46">
        <f>'C3C'!D83</f>
        <v>0</v>
      </c>
      <c r="E13" s="44">
        <f>'C3C'!E83</f>
        <v>0</v>
      </c>
      <c r="F13" s="44">
        <f>'C3C'!F83</f>
        <v>0</v>
      </c>
      <c r="G13" s="44">
        <f>'C3C'!G83</f>
        <v>0</v>
      </c>
      <c r="H13" s="44">
        <f>'C3C'!H83</f>
        <v>0</v>
      </c>
      <c r="I13" s="44">
        <f t="shared" si="0"/>
        <v>0</v>
      </c>
      <c r="J13" s="715" t="str">
        <f t="shared" si="1"/>
        <v/>
      </c>
      <c r="K13" s="144">
        <f>'C3C'!K83</f>
        <v>0</v>
      </c>
      <c r="L13" s="167"/>
      <c r="M13" s="167"/>
      <c r="N13" s="167"/>
      <c r="O13" s="167"/>
      <c r="P13" s="167"/>
      <c r="Q13" s="167"/>
      <c r="R13" s="167"/>
      <c r="S13" s="167"/>
      <c r="T13" s="167"/>
      <c r="U13" s="167"/>
      <c r="V13" s="167"/>
      <c r="W13" s="167"/>
      <c r="X13" s="67"/>
    </row>
    <row r="14" spans="1:24" ht="11.25" customHeight="1" x14ac:dyDescent="0.25">
      <c r="A14" s="407" t="str">
        <f>'Org structure'!A10</f>
        <v>Vote 9 - [NAME OF VOTE 9]</v>
      </c>
      <c r="B14" s="169"/>
      <c r="C14" s="134">
        <f>'C3C'!C94</f>
        <v>0</v>
      </c>
      <c r="D14" s="46">
        <f>'C3C'!D94</f>
        <v>0</v>
      </c>
      <c r="E14" s="44">
        <f>'C3C'!E94</f>
        <v>0</v>
      </c>
      <c r="F14" s="44">
        <f>'C3C'!F94</f>
        <v>0</v>
      </c>
      <c r="G14" s="44">
        <f>'C3C'!G94</f>
        <v>0</v>
      </c>
      <c r="H14" s="44">
        <f>'C3C'!H94</f>
        <v>0</v>
      </c>
      <c r="I14" s="44">
        <f t="shared" si="0"/>
        <v>0</v>
      </c>
      <c r="J14" s="715" t="str">
        <f t="shared" si="1"/>
        <v/>
      </c>
      <c r="K14" s="144">
        <f>'C3C'!K94</f>
        <v>0</v>
      </c>
      <c r="L14" s="696"/>
      <c r="M14" s="167"/>
      <c r="N14" s="167"/>
      <c r="O14" s="167"/>
      <c r="P14" s="167"/>
      <c r="Q14" s="167"/>
      <c r="R14" s="167"/>
      <c r="S14" s="167"/>
      <c r="T14" s="167"/>
      <c r="U14" s="167"/>
      <c r="V14" s="167"/>
      <c r="W14" s="167"/>
      <c r="X14" s="67"/>
    </row>
    <row r="15" spans="1:24" ht="11.25" customHeight="1" x14ac:dyDescent="0.25">
      <c r="A15" s="407" t="str">
        <f>'Org structure'!A11</f>
        <v>Vote 10 - [NAME OF VOTE 10]</v>
      </c>
      <c r="B15" s="169"/>
      <c r="C15" s="134">
        <f>'C3C'!C105</f>
        <v>0</v>
      </c>
      <c r="D15" s="46">
        <f>'C3C'!D105</f>
        <v>0</v>
      </c>
      <c r="E15" s="44">
        <f>'C3C'!E105</f>
        <v>0</v>
      </c>
      <c r="F15" s="44">
        <f>'C3C'!F105</f>
        <v>0</v>
      </c>
      <c r="G15" s="44">
        <f>'C3C'!G105</f>
        <v>0</v>
      </c>
      <c r="H15" s="44">
        <f>'C3C'!H105</f>
        <v>0</v>
      </c>
      <c r="I15" s="44">
        <f t="shared" si="0"/>
        <v>0</v>
      </c>
      <c r="J15" s="715" t="str">
        <f t="shared" si="1"/>
        <v/>
      </c>
      <c r="K15" s="144">
        <f>'C3C'!K105</f>
        <v>0</v>
      </c>
      <c r="L15" s="696"/>
      <c r="M15" s="167"/>
      <c r="N15" s="167"/>
      <c r="O15" s="167"/>
      <c r="P15" s="167"/>
      <c r="Q15" s="167"/>
      <c r="R15" s="167"/>
      <c r="S15" s="167"/>
      <c r="T15" s="167"/>
      <c r="U15" s="167"/>
      <c r="V15" s="167"/>
      <c r="W15" s="167"/>
      <c r="X15" s="67"/>
    </row>
    <row r="16" spans="1:24" ht="11.25" customHeight="1" x14ac:dyDescent="0.25">
      <c r="A16" s="407" t="str">
        <f>'Org structure'!A12</f>
        <v>Vote 11 - [NAME OF VOTE 11]</v>
      </c>
      <c r="B16" s="169"/>
      <c r="C16" s="134">
        <f>'C3C'!C116</f>
        <v>0</v>
      </c>
      <c r="D16" s="46">
        <f>'C3C'!D116</f>
        <v>0</v>
      </c>
      <c r="E16" s="44">
        <f>'C3C'!E116</f>
        <v>0</v>
      </c>
      <c r="F16" s="44">
        <f>'C3C'!F116</f>
        <v>0</v>
      </c>
      <c r="G16" s="44">
        <f>'C3C'!G116</f>
        <v>0</v>
      </c>
      <c r="H16" s="44">
        <f>'C3C'!H116</f>
        <v>0</v>
      </c>
      <c r="I16" s="44">
        <f t="shared" si="0"/>
        <v>0</v>
      </c>
      <c r="J16" s="715" t="str">
        <f t="shared" si="1"/>
        <v/>
      </c>
      <c r="K16" s="144">
        <f>'C3C'!K116</f>
        <v>0</v>
      </c>
      <c r="L16" s="100"/>
      <c r="M16" s="167"/>
      <c r="N16" s="167"/>
      <c r="O16" s="167"/>
      <c r="P16" s="167"/>
      <c r="Q16" s="167"/>
      <c r="R16" s="167"/>
      <c r="S16" s="167"/>
      <c r="T16" s="167"/>
      <c r="U16" s="167"/>
      <c r="V16" s="167"/>
      <c r="W16" s="167"/>
      <c r="X16" s="67"/>
    </row>
    <row r="17" spans="1:24" ht="11.25" customHeight="1" x14ac:dyDescent="0.25">
      <c r="A17" s="407" t="str">
        <f>'Org structure'!A13</f>
        <v>Vote 12 - [NAME OF VOTE 12]</v>
      </c>
      <c r="B17" s="169"/>
      <c r="C17" s="134">
        <f>'C3C'!C127</f>
        <v>0</v>
      </c>
      <c r="D17" s="46">
        <f>'C3C'!D127</f>
        <v>0</v>
      </c>
      <c r="E17" s="44">
        <f>'C3C'!E127</f>
        <v>0</v>
      </c>
      <c r="F17" s="44">
        <f>'C3C'!F127</f>
        <v>0</v>
      </c>
      <c r="G17" s="44">
        <f>'C3C'!G127</f>
        <v>0</v>
      </c>
      <c r="H17" s="44">
        <f>'C3C'!H127</f>
        <v>0</v>
      </c>
      <c r="I17" s="44">
        <f t="shared" si="0"/>
        <v>0</v>
      </c>
      <c r="J17" s="715" t="str">
        <f t="shared" si="1"/>
        <v/>
      </c>
      <c r="K17" s="144">
        <f>'C3C'!K127</f>
        <v>0</v>
      </c>
      <c r="L17" s="100"/>
      <c r="M17" s="167"/>
      <c r="N17" s="167"/>
      <c r="O17" s="167"/>
      <c r="P17" s="167"/>
      <c r="Q17" s="167"/>
      <c r="R17" s="167"/>
      <c r="S17" s="167"/>
      <c r="T17" s="167"/>
      <c r="U17" s="167"/>
      <c r="V17" s="167"/>
      <c r="W17" s="167"/>
      <c r="X17" s="67"/>
    </row>
    <row r="18" spans="1:24" ht="11.25" customHeight="1" x14ac:dyDescent="0.25">
      <c r="A18" s="407" t="str">
        <f>'Org structure'!A14</f>
        <v>Vote 13 - [NAME OF VOTE 13]</v>
      </c>
      <c r="B18" s="169"/>
      <c r="C18" s="134">
        <f>'C3C'!C138</f>
        <v>0</v>
      </c>
      <c r="D18" s="46">
        <f>'C3C'!D138</f>
        <v>0</v>
      </c>
      <c r="E18" s="44">
        <f>'C3C'!E138</f>
        <v>0</v>
      </c>
      <c r="F18" s="44">
        <f>'C3C'!F138</f>
        <v>0</v>
      </c>
      <c r="G18" s="44">
        <f>'C3C'!G138</f>
        <v>0</v>
      </c>
      <c r="H18" s="44">
        <f>'C3C'!H138</f>
        <v>0</v>
      </c>
      <c r="I18" s="44">
        <f t="shared" si="0"/>
        <v>0</v>
      </c>
      <c r="J18" s="715" t="str">
        <f t="shared" si="1"/>
        <v/>
      </c>
      <c r="K18" s="144">
        <f>'C3C'!K138</f>
        <v>0</v>
      </c>
      <c r="L18" s="100"/>
      <c r="M18" s="167"/>
      <c r="N18" s="167"/>
      <c r="O18" s="167"/>
      <c r="P18" s="167"/>
      <c r="Q18" s="167"/>
      <c r="R18" s="167"/>
      <c r="S18" s="167"/>
      <c r="T18" s="167"/>
      <c r="U18" s="167"/>
      <c r="V18" s="167"/>
      <c r="W18" s="167"/>
      <c r="X18" s="67"/>
    </row>
    <row r="19" spans="1:24" ht="11.25" customHeight="1" x14ac:dyDescent="0.25">
      <c r="A19" s="407" t="str">
        <f>'Org structure'!A15</f>
        <v>Vote 14 - [NAME OF VOTE 14]</v>
      </c>
      <c r="B19" s="169"/>
      <c r="C19" s="134">
        <f>'C3C'!C149</f>
        <v>0</v>
      </c>
      <c r="D19" s="46">
        <f>'C3C'!D149</f>
        <v>0</v>
      </c>
      <c r="E19" s="44">
        <f>'C3C'!E149</f>
        <v>0</v>
      </c>
      <c r="F19" s="44">
        <f>'C3C'!F149</f>
        <v>0</v>
      </c>
      <c r="G19" s="44">
        <f>'C3C'!G149</f>
        <v>0</v>
      </c>
      <c r="H19" s="44">
        <f>'C3C'!H149</f>
        <v>0</v>
      </c>
      <c r="I19" s="44">
        <f t="shared" si="0"/>
        <v>0</v>
      </c>
      <c r="J19" s="715" t="str">
        <f t="shared" si="1"/>
        <v/>
      </c>
      <c r="K19" s="144">
        <f>'C3C'!K149</f>
        <v>0</v>
      </c>
      <c r="L19" s="100"/>
      <c r="M19" s="167"/>
      <c r="N19" s="167"/>
      <c r="O19" s="167"/>
      <c r="P19" s="167"/>
      <c r="Q19" s="167"/>
      <c r="R19" s="167"/>
      <c r="S19" s="167"/>
      <c r="T19" s="167"/>
      <c r="U19" s="167"/>
      <c r="V19" s="167"/>
      <c r="W19" s="167"/>
      <c r="X19" s="67"/>
    </row>
    <row r="20" spans="1:24" ht="12" customHeight="1" x14ac:dyDescent="0.25">
      <c r="A20" s="407" t="str">
        <f>'Org structure'!A16</f>
        <v>Vote 15 - [NAME OF VOTE 15]</v>
      </c>
      <c r="B20" s="169"/>
      <c r="C20" s="134">
        <f>'C3C'!C160</f>
        <v>0</v>
      </c>
      <c r="D20" s="46">
        <f>'C3C'!D160</f>
        <v>0</v>
      </c>
      <c r="E20" s="44">
        <f>'C3C'!E160</f>
        <v>0</v>
      </c>
      <c r="F20" s="44">
        <f>'C3C'!F160</f>
        <v>0</v>
      </c>
      <c r="G20" s="44">
        <f>'C3C'!G160</f>
        <v>0</v>
      </c>
      <c r="H20" s="44">
        <f>'C3C'!H160</f>
        <v>0</v>
      </c>
      <c r="I20" s="44">
        <f t="shared" si="0"/>
        <v>0</v>
      </c>
      <c r="J20" s="715" t="str">
        <f t="shared" si="1"/>
        <v/>
      </c>
      <c r="K20" s="144">
        <f>'C3C'!K160</f>
        <v>0</v>
      </c>
      <c r="L20" s="100"/>
      <c r="M20" s="167"/>
      <c r="N20" s="167"/>
      <c r="O20" s="167"/>
      <c r="P20" s="167"/>
      <c r="Q20" s="167"/>
      <c r="R20" s="167"/>
      <c r="S20" s="167"/>
      <c r="T20" s="167"/>
      <c r="U20" s="167"/>
      <c r="V20" s="167"/>
      <c r="W20" s="167"/>
      <c r="X20" s="67"/>
    </row>
    <row r="21" spans="1:24" ht="12.75" customHeight="1" x14ac:dyDescent="0.25">
      <c r="A21" s="92" t="s">
        <v>635</v>
      </c>
      <c r="B21" s="233">
        <v>2</v>
      </c>
      <c r="C21" s="145">
        <f>SUM(C6:C20)</f>
        <v>0</v>
      </c>
      <c r="D21" s="74">
        <f t="shared" ref="D21:I21" si="2">SUM(D6:D20)</f>
        <v>6443701838.8720646</v>
      </c>
      <c r="E21" s="73">
        <f t="shared" si="2"/>
        <v>6532699838.8720646</v>
      </c>
      <c r="F21" s="73">
        <f t="shared" si="2"/>
        <v>733498751.58999991</v>
      </c>
      <c r="G21" s="73">
        <f t="shared" si="2"/>
        <v>3307890687.9899998</v>
      </c>
      <c r="H21" s="73">
        <f t="shared" si="2"/>
        <v>3266349919.4360323</v>
      </c>
      <c r="I21" s="73">
        <f t="shared" si="2"/>
        <v>41540768.553968191</v>
      </c>
      <c r="J21" s="716">
        <f t="shared" si="1"/>
        <v>1.2717794963357941E-2</v>
      </c>
      <c r="K21" s="145">
        <f>SUM(K6:K20)</f>
        <v>6532699838.8720646</v>
      </c>
      <c r="L21" s="59"/>
      <c r="M21" s="62"/>
      <c r="N21" s="62"/>
      <c r="O21" s="62"/>
      <c r="P21" s="62"/>
      <c r="Q21" s="62"/>
      <c r="R21" s="62"/>
      <c r="S21" s="62"/>
      <c r="T21" s="62"/>
      <c r="U21" s="62"/>
      <c r="V21" s="62"/>
      <c r="W21" s="62"/>
      <c r="X21" s="67"/>
    </row>
    <row r="22" spans="1:24" ht="5.0999999999999996" customHeight="1" x14ac:dyDescent="0.25">
      <c r="A22" s="42"/>
      <c r="B22" s="169"/>
      <c r="C22" s="144"/>
      <c r="D22" s="46"/>
      <c r="E22" s="44"/>
      <c r="F22" s="44"/>
      <c r="G22" s="44"/>
      <c r="H22" s="44"/>
      <c r="I22" s="44"/>
      <c r="J22" s="717"/>
      <c r="K22" s="144"/>
      <c r="L22" s="97"/>
      <c r="M22" s="84"/>
      <c r="N22" s="84"/>
      <c r="O22" s="84"/>
      <c r="P22" s="84"/>
      <c r="Q22" s="84"/>
      <c r="R22" s="84"/>
      <c r="S22" s="84"/>
      <c r="T22" s="84"/>
      <c r="U22" s="84"/>
      <c r="V22" s="84"/>
      <c r="W22" s="84"/>
      <c r="X22" s="67"/>
    </row>
    <row r="23" spans="1:24" ht="12.75" customHeight="1" x14ac:dyDescent="0.25">
      <c r="A23" s="35" t="s">
        <v>750</v>
      </c>
      <c r="B23" s="169">
        <v>1</v>
      </c>
      <c r="C23" s="144"/>
      <c r="D23" s="46"/>
      <c r="E23" s="44"/>
      <c r="F23" s="44"/>
      <c r="G23" s="44"/>
      <c r="H23" s="44"/>
      <c r="I23" s="44"/>
      <c r="J23" s="717"/>
      <c r="K23" s="144"/>
      <c r="L23" s="97"/>
      <c r="M23" s="84"/>
      <c r="N23" s="84"/>
      <c r="O23" s="84"/>
      <c r="P23" s="84"/>
      <c r="Q23" s="84"/>
      <c r="R23" s="84"/>
      <c r="S23" s="84"/>
      <c r="T23" s="84"/>
      <c r="U23" s="84"/>
      <c r="V23" s="84"/>
      <c r="W23" s="84"/>
      <c r="X23" s="67"/>
    </row>
    <row r="24" spans="1:24" ht="12.75" customHeight="1" x14ac:dyDescent="0.25">
      <c r="A24" s="39" t="str">
        <f>'Org structure'!A2</f>
        <v>Vote 1 - City Manager</v>
      </c>
      <c r="B24" s="169"/>
      <c r="C24" s="134">
        <f>'C3C'!C174</f>
        <v>0</v>
      </c>
      <c r="D24" s="46">
        <f>'C3C'!D174</f>
        <v>181805355.87582266</v>
      </c>
      <c r="E24" s="44">
        <f>'C3C'!E174</f>
        <v>187684680.20182845</v>
      </c>
      <c r="F24" s="44">
        <f>'C3C'!F174</f>
        <v>11922019.179999996</v>
      </c>
      <c r="G24" s="44">
        <f>'C3C'!G174</f>
        <v>72474879.420000017</v>
      </c>
      <c r="H24" s="44">
        <f>'C3C'!H174</f>
        <v>93842340.10091424</v>
      </c>
      <c r="I24" s="44">
        <f t="shared" ref="I24:I38" si="3">G24-H24</f>
        <v>-21367460.680914223</v>
      </c>
      <c r="J24" s="715">
        <f t="shared" ref="J24:J29" si="4">IF(I24=0,"",I24/H24)</f>
        <v>-0.22769530957919978</v>
      </c>
      <c r="K24" s="144">
        <f>'C3C'!K174</f>
        <v>187684680.20182845</v>
      </c>
      <c r="L24" s="97"/>
      <c r="M24" s="84"/>
      <c r="N24" s="84"/>
      <c r="O24" s="84"/>
      <c r="P24" s="84"/>
      <c r="Q24" s="84"/>
      <c r="R24" s="84"/>
      <c r="S24" s="84"/>
      <c r="T24" s="84"/>
      <c r="U24" s="84"/>
      <c r="V24" s="84"/>
      <c r="W24" s="84"/>
      <c r="X24" s="67"/>
    </row>
    <row r="25" spans="1:24" ht="12.75" customHeight="1" x14ac:dyDescent="0.25">
      <c r="A25" s="39" t="str">
        <f>'Org structure'!A3</f>
        <v>Vote 2 - City Finance</v>
      </c>
      <c r="B25" s="169"/>
      <c r="C25" s="134">
        <f>'C3C'!C185</f>
        <v>0</v>
      </c>
      <c r="D25" s="46">
        <f>'C3C'!D185</f>
        <v>700877661.2400291</v>
      </c>
      <c r="E25" s="44">
        <f>'C3C'!E185</f>
        <v>701512353.70556009</v>
      </c>
      <c r="F25" s="44">
        <f>'C3C'!F185</f>
        <v>25985551.059999991</v>
      </c>
      <c r="G25" s="44">
        <f>'C3C'!G185</f>
        <v>162251122.26999998</v>
      </c>
      <c r="H25" s="44">
        <f>'C3C'!H185</f>
        <v>350756176.85278004</v>
      </c>
      <c r="I25" s="44">
        <f t="shared" si="3"/>
        <v>-188505054.58278006</v>
      </c>
      <c r="J25" s="715">
        <f t="shared" si="4"/>
        <v>-0.53742476119501015</v>
      </c>
      <c r="K25" s="144">
        <f>'C3C'!K185</f>
        <v>701512353.70556009</v>
      </c>
      <c r="L25" s="97"/>
      <c r="M25" s="97"/>
      <c r="N25" s="97"/>
      <c r="O25" s="97"/>
      <c r="P25" s="97"/>
      <c r="Q25" s="97"/>
      <c r="R25" s="97"/>
      <c r="S25" s="97"/>
      <c r="T25" s="97"/>
      <c r="U25" s="97"/>
      <c r="V25" s="97"/>
      <c r="W25" s="97"/>
      <c r="X25" s="67"/>
    </row>
    <row r="26" spans="1:24" ht="12.75" customHeight="1" x14ac:dyDescent="0.25">
      <c r="A26" s="39" t="str">
        <f>'Org structure'!A4</f>
        <v>Vote 3 - Community Services and Social Equity</v>
      </c>
      <c r="B26" s="169"/>
      <c r="C26" s="134">
        <f>'C3C'!C196</f>
        <v>0</v>
      </c>
      <c r="D26" s="46">
        <f>'C3C'!D196</f>
        <v>743751614.16259539</v>
      </c>
      <c r="E26" s="44">
        <f>'C3C'!E196</f>
        <v>743751614.16259539</v>
      </c>
      <c r="F26" s="44">
        <f>'C3C'!F196</f>
        <v>68099341.519999996</v>
      </c>
      <c r="G26" s="44">
        <f>'C3C'!G196</f>
        <v>419417775.50999999</v>
      </c>
      <c r="H26" s="44">
        <f>'C3C'!H196</f>
        <v>371875807.0812977</v>
      </c>
      <c r="I26" s="44">
        <f t="shared" si="3"/>
        <v>47541968.428702295</v>
      </c>
      <c r="J26" s="715">
        <f t="shared" si="4"/>
        <v>0.12784367125637969</v>
      </c>
      <c r="K26" s="144">
        <f>'C3C'!K196</f>
        <v>743751614.16259539</v>
      </c>
      <c r="L26" s="97"/>
      <c r="M26" s="97"/>
      <c r="N26" s="97"/>
      <c r="O26" s="97"/>
      <c r="P26" s="97"/>
      <c r="Q26" s="97"/>
      <c r="R26" s="97"/>
      <c r="S26" s="97"/>
      <c r="T26" s="97"/>
      <c r="U26" s="97"/>
      <c r="V26" s="97"/>
      <c r="W26" s="97"/>
      <c r="X26" s="67"/>
    </row>
    <row r="27" spans="1:24" ht="12.75" customHeight="1" x14ac:dyDescent="0.25">
      <c r="A27" s="39" t="str">
        <f>'Org structure'!A5</f>
        <v>Vote 4 - Corporate Services</v>
      </c>
      <c r="B27" s="169"/>
      <c r="C27" s="134">
        <f>'C3C'!C207</f>
        <v>0</v>
      </c>
      <c r="D27" s="46">
        <f>'C3C'!D207</f>
        <v>200548950.39124021</v>
      </c>
      <c r="E27" s="44">
        <f>'C3C'!E207</f>
        <v>200548953.39108872</v>
      </c>
      <c r="F27" s="44">
        <f>'C3C'!F207</f>
        <v>14267432.68</v>
      </c>
      <c r="G27" s="44">
        <f>'C3C'!G207</f>
        <v>66547259.439999998</v>
      </c>
      <c r="H27" s="44">
        <f>'C3C'!H207</f>
        <v>100274476.69554435</v>
      </c>
      <c r="I27" s="44">
        <f t="shared" si="3"/>
        <v>-33727217.25554435</v>
      </c>
      <c r="J27" s="715">
        <f t="shared" si="4"/>
        <v>-0.33634897300883149</v>
      </c>
      <c r="K27" s="144">
        <f>'C3C'!K207</f>
        <v>200548953.39108872</v>
      </c>
      <c r="L27" s="97"/>
      <c r="M27" s="97"/>
      <c r="N27" s="97"/>
      <c r="O27" s="97"/>
      <c r="P27" s="97"/>
      <c r="Q27" s="97"/>
      <c r="R27" s="97"/>
      <c r="S27" s="97"/>
      <c r="T27" s="97"/>
      <c r="U27" s="97"/>
      <c r="V27" s="97"/>
      <c r="W27" s="97"/>
      <c r="X27" s="67"/>
    </row>
    <row r="28" spans="1:24" ht="12.75" customHeight="1" x14ac:dyDescent="0.25">
      <c r="A28" s="39" t="str">
        <f>'Org structure'!A6</f>
        <v>Vote 5 - Infrastructure Services</v>
      </c>
      <c r="B28" s="169"/>
      <c r="C28" s="134">
        <f>'C3C'!C218</f>
        <v>0</v>
      </c>
      <c r="D28" s="46">
        <f>'C3C'!D218</f>
        <v>3393288719.277081</v>
      </c>
      <c r="E28" s="44">
        <f>'C3C'!E218</f>
        <v>3399787088.3111777</v>
      </c>
      <c r="F28" s="44">
        <f>'C3C'!F218</f>
        <v>273553077.17999995</v>
      </c>
      <c r="G28" s="44">
        <f>'C3C'!G218</f>
        <v>1885589506.4999986</v>
      </c>
      <c r="H28" s="44">
        <f>'C3C'!H218</f>
        <v>1699893544.1555891</v>
      </c>
      <c r="I28" s="44">
        <f t="shared" si="3"/>
        <v>185695962.34440947</v>
      </c>
      <c r="J28" s="715">
        <f t="shared" si="4"/>
        <v>0.10923975973839745</v>
      </c>
      <c r="K28" s="144">
        <f>'C3C'!K218</f>
        <v>3399787088.3111777</v>
      </c>
      <c r="L28" s="97"/>
      <c r="M28" s="97"/>
      <c r="N28" s="97"/>
      <c r="O28" s="97"/>
      <c r="P28" s="97"/>
      <c r="Q28" s="97"/>
      <c r="R28" s="97"/>
      <c r="S28" s="97"/>
      <c r="T28" s="97"/>
      <c r="U28" s="97"/>
      <c r="V28" s="97"/>
      <c r="W28" s="97"/>
      <c r="X28" s="67"/>
    </row>
    <row r="29" spans="1:24" ht="12.75" customHeight="1" x14ac:dyDescent="0.25">
      <c r="A29" s="39" t="str">
        <f>'Org structure'!A7</f>
        <v>Vote 6 - Sustainable Development and City Enterprises</v>
      </c>
      <c r="B29" s="169"/>
      <c r="C29" s="134">
        <f>'C3C'!C229</f>
        <v>0</v>
      </c>
      <c r="D29" s="46">
        <f>'C3C'!D229</f>
        <v>296205168.59786338</v>
      </c>
      <c r="E29" s="44">
        <f>'C3C'!E229</f>
        <v>329805169.15482336</v>
      </c>
      <c r="F29" s="44">
        <f>'C3C'!F229</f>
        <v>18629432.659999996</v>
      </c>
      <c r="G29" s="44">
        <f>'C3C'!G229</f>
        <v>118024026.79999998</v>
      </c>
      <c r="H29" s="44">
        <f>'C3C'!H229</f>
        <v>164902584.57741168</v>
      </c>
      <c r="I29" s="44">
        <f t="shared" si="3"/>
        <v>-46878557.777411699</v>
      </c>
      <c r="J29" s="715">
        <f t="shared" si="4"/>
        <v>-0.2842803094781397</v>
      </c>
      <c r="K29" s="144">
        <f>'C3C'!K229</f>
        <v>329805169.15482336</v>
      </c>
      <c r="L29" s="97"/>
      <c r="M29" s="97"/>
      <c r="N29" s="97"/>
      <c r="O29" s="97"/>
      <c r="P29" s="97"/>
      <c r="Q29" s="97"/>
      <c r="R29" s="97"/>
      <c r="S29" s="97"/>
      <c r="T29" s="97"/>
      <c r="U29" s="97"/>
      <c r="V29" s="97"/>
      <c r="W29" s="97"/>
      <c r="X29" s="67"/>
    </row>
    <row r="30" spans="1:24" ht="11.25" customHeight="1" x14ac:dyDescent="0.25">
      <c r="A30" s="39" t="str">
        <f>'Org structure'!A8</f>
        <v>Vote 7 - [NAME OF VOTE 7]</v>
      </c>
      <c r="B30" s="169"/>
      <c r="C30" s="134">
        <f>'C3C'!C240</f>
        <v>0</v>
      </c>
      <c r="D30" s="46">
        <f>'C3C'!D240</f>
        <v>0</v>
      </c>
      <c r="E30" s="44">
        <f>'C3C'!E240</f>
        <v>0</v>
      </c>
      <c r="F30" s="44">
        <f>'C3C'!F240</f>
        <v>0</v>
      </c>
      <c r="G30" s="44">
        <f>'C3C'!G240</f>
        <v>0</v>
      </c>
      <c r="H30" s="44">
        <f>'C3C'!H240</f>
        <v>0</v>
      </c>
      <c r="I30" s="44">
        <f t="shared" si="3"/>
        <v>0</v>
      </c>
      <c r="J30" s="715" t="str">
        <f t="shared" ref="J30:J38" si="5">IF(I30=0,"",I30/H30)</f>
        <v/>
      </c>
      <c r="K30" s="144">
        <f>'C3C'!K240</f>
        <v>0</v>
      </c>
      <c r="L30" s="97"/>
      <c r="M30" s="97"/>
      <c r="N30" s="97"/>
      <c r="O30" s="97"/>
      <c r="P30" s="97"/>
      <c r="Q30" s="97"/>
      <c r="R30" s="97"/>
      <c r="S30" s="97"/>
      <c r="T30" s="97"/>
      <c r="U30" s="97"/>
      <c r="V30" s="97"/>
      <c r="W30" s="97"/>
      <c r="X30" s="67"/>
    </row>
    <row r="31" spans="1:24" ht="11.25" customHeight="1" x14ac:dyDescent="0.25">
      <c r="A31" s="39" t="str">
        <f>'Org structure'!A9</f>
        <v>Vote 8 - [NAME OF VOTE 8]</v>
      </c>
      <c r="B31" s="169"/>
      <c r="C31" s="134">
        <f>'C3C'!C251</f>
        <v>0</v>
      </c>
      <c r="D31" s="46">
        <f>'C3C'!D251</f>
        <v>0</v>
      </c>
      <c r="E31" s="44">
        <f>'C3C'!E251</f>
        <v>0</v>
      </c>
      <c r="F31" s="44">
        <f>'C3C'!F251</f>
        <v>0</v>
      </c>
      <c r="G31" s="44">
        <f>'C3C'!G251</f>
        <v>0</v>
      </c>
      <c r="H31" s="44">
        <f>'C3C'!H251</f>
        <v>0</v>
      </c>
      <c r="I31" s="44">
        <f t="shared" si="3"/>
        <v>0</v>
      </c>
      <c r="J31" s="715" t="str">
        <f t="shared" si="5"/>
        <v/>
      </c>
      <c r="K31" s="144">
        <f>'C3C'!K251</f>
        <v>0</v>
      </c>
      <c r="L31" s="97"/>
      <c r="M31" s="97"/>
      <c r="N31" s="97"/>
      <c r="O31" s="97"/>
      <c r="P31" s="97"/>
      <c r="Q31" s="97"/>
      <c r="R31" s="97"/>
      <c r="S31" s="97"/>
      <c r="T31" s="97"/>
      <c r="U31" s="97"/>
      <c r="V31" s="97"/>
      <c r="W31" s="97"/>
      <c r="X31" s="67"/>
    </row>
    <row r="32" spans="1:24" ht="11.25" customHeight="1" x14ac:dyDescent="0.25">
      <c r="A32" s="39" t="str">
        <f>'Org structure'!A10</f>
        <v>Vote 9 - [NAME OF VOTE 9]</v>
      </c>
      <c r="B32" s="169"/>
      <c r="C32" s="134">
        <f>'C3C'!C262</f>
        <v>0</v>
      </c>
      <c r="D32" s="46">
        <f>'C3C'!D262</f>
        <v>0</v>
      </c>
      <c r="E32" s="44">
        <f>'C3C'!E262</f>
        <v>0</v>
      </c>
      <c r="F32" s="44">
        <f>'C3C'!F262</f>
        <v>0</v>
      </c>
      <c r="G32" s="44">
        <f>'C3C'!G262</f>
        <v>0</v>
      </c>
      <c r="H32" s="44">
        <f>'C3C'!H262</f>
        <v>0</v>
      </c>
      <c r="I32" s="44">
        <f t="shared" si="3"/>
        <v>0</v>
      </c>
      <c r="J32" s="715" t="str">
        <f t="shared" si="5"/>
        <v/>
      </c>
      <c r="K32" s="144">
        <f>'C3C'!K262</f>
        <v>0</v>
      </c>
      <c r="L32" s="97"/>
      <c r="M32" s="97"/>
      <c r="N32" s="97"/>
      <c r="O32" s="97"/>
      <c r="P32" s="97"/>
      <c r="Q32" s="97"/>
      <c r="R32" s="97"/>
      <c r="S32" s="97"/>
      <c r="T32" s="97"/>
      <c r="U32" s="97"/>
      <c r="V32" s="97"/>
      <c r="W32" s="97"/>
      <c r="X32" s="67"/>
    </row>
    <row r="33" spans="1:24" ht="11.25" customHeight="1" x14ac:dyDescent="0.25">
      <c r="A33" s="39" t="str">
        <f>'Org structure'!A11</f>
        <v>Vote 10 - [NAME OF VOTE 10]</v>
      </c>
      <c r="B33" s="169"/>
      <c r="C33" s="134">
        <f>'C3C'!C273</f>
        <v>0</v>
      </c>
      <c r="D33" s="46">
        <f>'C3C'!D273</f>
        <v>0</v>
      </c>
      <c r="E33" s="44">
        <f>'C3C'!E273</f>
        <v>0</v>
      </c>
      <c r="F33" s="44">
        <f>'C3C'!F273</f>
        <v>0</v>
      </c>
      <c r="G33" s="44">
        <f>'C3C'!G273</f>
        <v>0</v>
      </c>
      <c r="H33" s="44">
        <f>'C3C'!H273</f>
        <v>0</v>
      </c>
      <c r="I33" s="44">
        <f t="shared" si="3"/>
        <v>0</v>
      </c>
      <c r="J33" s="715" t="str">
        <f>IF(I33=0,"",I33/H33)</f>
        <v/>
      </c>
      <c r="K33" s="144">
        <f>'C3C'!K273</f>
        <v>0</v>
      </c>
      <c r="L33" s="97"/>
      <c r="M33" s="97"/>
      <c r="N33" s="97"/>
      <c r="O33" s="97"/>
      <c r="P33" s="97"/>
      <c r="Q33" s="97"/>
      <c r="R33" s="97"/>
      <c r="S33" s="97"/>
      <c r="T33" s="97"/>
      <c r="U33" s="97"/>
      <c r="V33" s="97"/>
      <c r="W33" s="97"/>
      <c r="X33" s="67"/>
    </row>
    <row r="34" spans="1:24" ht="11.25" customHeight="1" x14ac:dyDescent="0.25">
      <c r="A34" s="39" t="str">
        <f>'Org structure'!A12</f>
        <v>Vote 11 - [NAME OF VOTE 11]</v>
      </c>
      <c r="B34" s="169"/>
      <c r="C34" s="134">
        <f>'C3C'!C284</f>
        <v>0</v>
      </c>
      <c r="D34" s="46">
        <f>'C3C'!D284</f>
        <v>0</v>
      </c>
      <c r="E34" s="44">
        <f>'C3C'!E284</f>
        <v>0</v>
      </c>
      <c r="F34" s="44">
        <f>'C3C'!F284</f>
        <v>0</v>
      </c>
      <c r="G34" s="44">
        <f>'C3C'!G284</f>
        <v>0</v>
      </c>
      <c r="H34" s="44">
        <f>'C3C'!H284</f>
        <v>0</v>
      </c>
      <c r="I34" s="44">
        <f t="shared" si="3"/>
        <v>0</v>
      </c>
      <c r="J34" s="715" t="str">
        <f>IF(I34=0,"",I34/H34)</f>
        <v/>
      </c>
      <c r="K34" s="144">
        <f>'C3C'!K284</f>
        <v>0</v>
      </c>
      <c r="L34" s="100"/>
      <c r="M34" s="97"/>
      <c r="N34" s="97"/>
      <c r="O34" s="97"/>
      <c r="P34" s="97"/>
      <c r="Q34" s="97"/>
      <c r="R34" s="97"/>
      <c r="S34" s="97"/>
      <c r="T34" s="97"/>
      <c r="U34" s="97"/>
      <c r="V34" s="97"/>
      <c r="W34" s="97"/>
      <c r="X34" s="67"/>
    </row>
    <row r="35" spans="1:24" ht="11.25" customHeight="1" x14ac:dyDescent="0.25">
      <c r="A35" s="39" t="str">
        <f>'Org structure'!A13</f>
        <v>Vote 12 - [NAME OF VOTE 12]</v>
      </c>
      <c r="B35" s="169"/>
      <c r="C35" s="134">
        <f>'C3C'!C295</f>
        <v>0</v>
      </c>
      <c r="D35" s="46">
        <f>'C3C'!D295</f>
        <v>0</v>
      </c>
      <c r="E35" s="44">
        <f>'C3C'!E295</f>
        <v>0</v>
      </c>
      <c r="F35" s="44">
        <f>'C3C'!F295</f>
        <v>0</v>
      </c>
      <c r="G35" s="44">
        <f>'C3C'!G295</f>
        <v>0</v>
      </c>
      <c r="H35" s="44">
        <f>'C3C'!H295</f>
        <v>0</v>
      </c>
      <c r="I35" s="44">
        <f t="shared" si="3"/>
        <v>0</v>
      </c>
      <c r="J35" s="715" t="str">
        <f>IF(I35=0,"",I35/H35)</f>
        <v/>
      </c>
      <c r="K35" s="144">
        <f>'C3C'!K295</f>
        <v>0</v>
      </c>
      <c r="L35" s="100"/>
      <c r="M35" s="97"/>
      <c r="N35" s="97"/>
      <c r="O35" s="97"/>
      <c r="P35" s="97"/>
      <c r="Q35" s="97"/>
      <c r="R35" s="97"/>
      <c r="S35" s="97"/>
      <c r="T35" s="97"/>
      <c r="U35" s="97"/>
      <c r="V35" s="97"/>
      <c r="W35" s="97"/>
      <c r="X35" s="67"/>
    </row>
    <row r="36" spans="1:24" ht="11.25" customHeight="1" x14ac:dyDescent="0.25">
      <c r="A36" s="39" t="str">
        <f>'Org structure'!A14</f>
        <v>Vote 13 - [NAME OF VOTE 13]</v>
      </c>
      <c r="B36" s="169"/>
      <c r="C36" s="134">
        <f>'C3C'!C306</f>
        <v>0</v>
      </c>
      <c r="D36" s="46">
        <f>'C3C'!D306</f>
        <v>0</v>
      </c>
      <c r="E36" s="44">
        <f>'C3C'!E306</f>
        <v>0</v>
      </c>
      <c r="F36" s="44">
        <f>'C3C'!F306</f>
        <v>0</v>
      </c>
      <c r="G36" s="44">
        <f>'C3C'!G306</f>
        <v>0</v>
      </c>
      <c r="H36" s="44">
        <f>'C3C'!H306</f>
        <v>0</v>
      </c>
      <c r="I36" s="44">
        <f t="shared" si="3"/>
        <v>0</v>
      </c>
      <c r="J36" s="715" t="str">
        <f>IF(I36=0,"",I36/H36)</f>
        <v/>
      </c>
      <c r="K36" s="144">
        <f>'C3C'!K306</f>
        <v>0</v>
      </c>
      <c r="L36" s="100"/>
      <c r="M36" s="97"/>
      <c r="N36" s="97"/>
      <c r="O36" s="97"/>
      <c r="P36" s="97"/>
      <c r="Q36" s="97"/>
      <c r="R36" s="97"/>
      <c r="S36" s="97"/>
      <c r="T36" s="97"/>
      <c r="U36" s="97"/>
      <c r="V36" s="97"/>
      <c r="W36" s="97"/>
      <c r="X36" s="67"/>
    </row>
    <row r="37" spans="1:24" ht="11.25" customHeight="1" x14ac:dyDescent="0.25">
      <c r="A37" s="39" t="str">
        <f>'Org structure'!A15</f>
        <v>Vote 14 - [NAME OF VOTE 14]</v>
      </c>
      <c r="B37" s="169"/>
      <c r="C37" s="134">
        <f>'C3C'!C317</f>
        <v>0</v>
      </c>
      <c r="D37" s="46">
        <f>'C3C'!D317</f>
        <v>0</v>
      </c>
      <c r="E37" s="44">
        <f>'C3C'!E317</f>
        <v>0</v>
      </c>
      <c r="F37" s="44">
        <f>'C3C'!F317</f>
        <v>0</v>
      </c>
      <c r="G37" s="44">
        <f>'C3C'!G317</f>
        <v>0</v>
      </c>
      <c r="H37" s="44">
        <f>'C3C'!H317</f>
        <v>0</v>
      </c>
      <c r="I37" s="44">
        <f t="shared" si="3"/>
        <v>0</v>
      </c>
      <c r="J37" s="715" t="str">
        <f>IF(I37=0,"",I37/H37)</f>
        <v/>
      </c>
      <c r="K37" s="144">
        <f>'C3C'!K317</f>
        <v>0</v>
      </c>
      <c r="L37" s="100"/>
      <c r="M37" s="97"/>
      <c r="N37" s="97"/>
      <c r="O37" s="97"/>
      <c r="P37" s="97"/>
      <c r="Q37" s="97"/>
      <c r="R37" s="97"/>
      <c r="S37" s="97"/>
      <c r="T37" s="97"/>
      <c r="U37" s="97"/>
      <c r="V37" s="97"/>
      <c r="W37" s="97"/>
      <c r="X37" s="67"/>
    </row>
    <row r="38" spans="1:24" ht="12.75" customHeight="1" x14ac:dyDescent="0.25">
      <c r="A38" s="39" t="str">
        <f>'Org structure'!A16</f>
        <v>Vote 15 - [NAME OF VOTE 15]</v>
      </c>
      <c r="B38" s="169"/>
      <c r="C38" s="134">
        <f>'C3C'!C328</f>
        <v>0</v>
      </c>
      <c r="D38" s="46">
        <f>'C3C'!D328</f>
        <v>0</v>
      </c>
      <c r="E38" s="44">
        <f>'C3C'!E328</f>
        <v>0</v>
      </c>
      <c r="F38" s="44">
        <f>'C3C'!F328</f>
        <v>0</v>
      </c>
      <c r="G38" s="44">
        <f>'C3C'!G328</f>
        <v>0</v>
      </c>
      <c r="H38" s="44">
        <f>'C3C'!H328</f>
        <v>0</v>
      </c>
      <c r="I38" s="44">
        <f t="shared" si="3"/>
        <v>0</v>
      </c>
      <c r="J38" s="715" t="str">
        <f t="shared" si="5"/>
        <v/>
      </c>
      <c r="K38" s="144">
        <f>'C3C'!K328</f>
        <v>0</v>
      </c>
      <c r="L38" s="100"/>
      <c r="M38" s="97"/>
      <c r="N38" s="97"/>
      <c r="O38" s="97"/>
      <c r="P38" s="97"/>
      <c r="Q38" s="97"/>
      <c r="R38" s="97"/>
      <c r="S38" s="97"/>
      <c r="T38" s="97"/>
      <c r="U38" s="97"/>
      <c r="V38" s="97"/>
      <c r="W38" s="97"/>
      <c r="X38" s="67"/>
    </row>
    <row r="39" spans="1:24" ht="12.75" customHeight="1" x14ac:dyDescent="0.25">
      <c r="A39" s="92" t="s">
        <v>634</v>
      </c>
      <c r="B39" s="233">
        <v>2</v>
      </c>
      <c r="C39" s="516">
        <f>SUM(C24:C38)</f>
        <v>0</v>
      </c>
      <c r="D39" s="475">
        <f t="shared" ref="D39:I39" si="6">SUM(D24:D38)</f>
        <v>5516477469.544631</v>
      </c>
      <c r="E39" s="430">
        <f t="shared" si="6"/>
        <v>5563089858.9270735</v>
      </c>
      <c r="F39" s="430">
        <f t="shared" si="6"/>
        <v>412456854.27999997</v>
      </c>
      <c r="G39" s="430">
        <f t="shared" si="6"/>
        <v>2724304569.9399986</v>
      </c>
      <c r="H39" s="430">
        <f t="shared" si="6"/>
        <v>2781544929.4635372</v>
      </c>
      <c r="I39" s="430">
        <f t="shared" si="6"/>
        <v>-57240359.523538589</v>
      </c>
      <c r="J39" s="718">
        <f>IF(I39=0,"",I39/H39)</f>
        <v>-2.0578621224924185E-2</v>
      </c>
      <c r="K39" s="513">
        <f>SUM(K24:K38)</f>
        <v>5563089858.9270735</v>
      </c>
      <c r="L39" s="59"/>
      <c r="M39" s="62"/>
      <c r="N39" s="62"/>
      <c r="O39" s="62"/>
      <c r="P39" s="62"/>
      <c r="Q39" s="62"/>
      <c r="R39" s="62"/>
      <c r="S39" s="62"/>
      <c r="T39" s="62"/>
      <c r="U39" s="62"/>
      <c r="V39" s="62"/>
      <c r="W39" s="62"/>
      <c r="X39" s="67"/>
    </row>
    <row r="40" spans="1:24" ht="12.75" customHeight="1" x14ac:dyDescent="0.25">
      <c r="A40" s="53" t="str">
        <f>result</f>
        <v>Surplus/ (Deficit) for the year</v>
      </c>
      <c r="B40" s="236">
        <v>2</v>
      </c>
      <c r="C40" s="235">
        <f t="shared" ref="C40:H40" si="7">C21-C39</f>
        <v>0</v>
      </c>
      <c r="D40" s="56">
        <f t="shared" si="7"/>
        <v>927224369.32743359</v>
      </c>
      <c r="E40" s="55">
        <f t="shared" si="7"/>
        <v>969609979.94499111</v>
      </c>
      <c r="F40" s="55">
        <f t="shared" si="7"/>
        <v>321041897.30999994</v>
      </c>
      <c r="G40" s="55">
        <f t="shared" si="7"/>
        <v>583586118.05000114</v>
      </c>
      <c r="H40" s="55">
        <f t="shared" si="7"/>
        <v>484804989.97249508</v>
      </c>
      <c r="I40" s="55">
        <f>I21-I39</f>
        <v>98781128.077506781</v>
      </c>
      <c r="J40" s="719">
        <f>IF(I40=0,"",I40/H40)</f>
        <v>0.20375435509257245</v>
      </c>
      <c r="K40" s="235">
        <f>K21-K39</f>
        <v>969609979.94499111</v>
      </c>
      <c r="L40" s="62"/>
      <c r="M40" s="62"/>
      <c r="N40" s="62"/>
      <c r="O40" s="62"/>
      <c r="P40" s="62"/>
      <c r="Q40" s="62"/>
      <c r="R40" s="62"/>
      <c r="S40" s="62"/>
      <c r="T40" s="62"/>
      <c r="U40" s="62"/>
      <c r="V40" s="62"/>
      <c r="W40" s="62"/>
      <c r="X40" s="67"/>
    </row>
    <row r="41" spans="1:24" ht="11.25" customHeight="1" x14ac:dyDescent="0.25">
      <c r="A41" s="57" t="str">
        <f>head27a</f>
        <v>References</v>
      </c>
      <c r="B41" s="58"/>
      <c r="C41" s="59"/>
      <c r="D41" s="59"/>
      <c r="E41" s="59"/>
      <c r="F41" s="59"/>
      <c r="G41" s="59"/>
      <c r="H41" s="59"/>
      <c r="I41" s="59"/>
      <c r="J41" s="59"/>
      <c r="K41" s="59"/>
      <c r="L41" s="67"/>
      <c r="M41" s="67"/>
      <c r="N41" s="67"/>
      <c r="O41" s="67"/>
      <c r="P41" s="67"/>
      <c r="Q41" s="67"/>
      <c r="R41" s="67"/>
      <c r="S41" s="67"/>
      <c r="T41" s="67"/>
      <c r="U41" s="67"/>
      <c r="V41" s="67"/>
      <c r="W41" s="67"/>
      <c r="X41" s="67"/>
    </row>
    <row r="42" spans="1:24" ht="11.25" customHeight="1" x14ac:dyDescent="0.25">
      <c r="A42" s="60" t="s">
        <v>714</v>
      </c>
      <c r="B42" s="58"/>
      <c r="C42" s="62"/>
      <c r="D42" s="62"/>
      <c r="E42" s="62"/>
      <c r="F42" s="62"/>
      <c r="G42" s="62"/>
      <c r="H42" s="62"/>
      <c r="I42" s="62"/>
      <c r="J42" s="62"/>
      <c r="K42" s="62"/>
      <c r="L42" s="67"/>
      <c r="M42" s="67"/>
      <c r="N42" s="67"/>
      <c r="O42" s="67"/>
      <c r="P42" s="67"/>
      <c r="Q42" s="67"/>
      <c r="R42" s="67"/>
      <c r="S42" s="67"/>
      <c r="T42" s="67"/>
      <c r="U42" s="67"/>
      <c r="V42" s="67"/>
      <c r="W42" s="67"/>
      <c r="X42" s="67"/>
    </row>
    <row r="43" spans="1:24" ht="11.25" customHeight="1" x14ac:dyDescent="0.25">
      <c r="A43" s="63" t="s">
        <v>140</v>
      </c>
      <c r="B43" s="58"/>
      <c r="C43" s="62"/>
      <c r="D43" s="62"/>
      <c r="E43" s="62"/>
      <c r="F43" s="62"/>
      <c r="G43" s="62"/>
      <c r="H43" s="62"/>
      <c r="I43" s="62"/>
      <c r="J43" s="62"/>
      <c r="K43" s="62"/>
      <c r="L43" s="67"/>
      <c r="M43" s="67"/>
      <c r="N43" s="67"/>
      <c r="O43" s="67"/>
      <c r="P43" s="67"/>
      <c r="Q43" s="67"/>
      <c r="R43" s="67"/>
      <c r="S43" s="67"/>
      <c r="T43" s="67"/>
      <c r="U43" s="67"/>
      <c r="V43" s="67"/>
      <c r="W43" s="67"/>
      <c r="X43" s="67"/>
    </row>
    <row r="44" spans="1:24" ht="11.25" customHeight="1" x14ac:dyDescent="0.25">
      <c r="A44" s="63"/>
      <c r="B44" s="64"/>
      <c r="C44" s="66"/>
      <c r="D44" s="66"/>
      <c r="E44" s="66"/>
      <c r="F44" s="66"/>
      <c r="G44" s="66"/>
      <c r="H44" s="66"/>
      <c r="I44" s="66"/>
      <c r="J44" s="66"/>
      <c r="K44" s="66"/>
      <c r="L44" s="67"/>
      <c r="M44" s="67"/>
      <c r="N44" s="67"/>
      <c r="O44" s="67"/>
      <c r="P44" s="67"/>
      <c r="Q44" s="67"/>
      <c r="R44" s="67"/>
      <c r="S44" s="67"/>
      <c r="T44" s="67"/>
      <c r="U44" s="67"/>
      <c r="V44" s="67"/>
      <c r="W44" s="67"/>
      <c r="X44" s="67"/>
    </row>
    <row r="45" spans="1:24" ht="11.25" customHeight="1" x14ac:dyDescent="0.25">
      <c r="A45" s="67"/>
      <c r="L45" s="67"/>
      <c r="M45" s="67"/>
      <c r="N45" s="67"/>
      <c r="O45" s="67"/>
      <c r="P45" s="67"/>
      <c r="Q45" s="67"/>
      <c r="R45" s="67"/>
      <c r="S45" s="67"/>
      <c r="T45" s="67"/>
      <c r="U45" s="67"/>
      <c r="V45" s="67"/>
      <c r="W45" s="67"/>
      <c r="X45" s="67"/>
    </row>
    <row r="46" spans="1:24" ht="11.25" customHeight="1" x14ac:dyDescent="0.25">
      <c r="A46" s="65"/>
      <c r="B46" s="694"/>
      <c r="C46" s="689"/>
      <c r="D46" s="689"/>
      <c r="E46" s="689"/>
      <c r="F46" s="689"/>
      <c r="G46" s="689"/>
      <c r="H46" s="689"/>
      <c r="I46" s="689"/>
      <c r="J46" s="689"/>
      <c r="K46" s="689"/>
    </row>
    <row r="47" spans="1:24" ht="11.25" customHeight="1" x14ac:dyDescent="0.25">
      <c r="A47" s="65"/>
      <c r="B47" s="694"/>
      <c r="C47" s="689"/>
      <c r="D47" s="689"/>
      <c r="E47" s="689"/>
      <c r="F47" s="689"/>
      <c r="G47" s="689"/>
      <c r="H47" s="689"/>
      <c r="I47" s="689"/>
      <c r="J47" s="689"/>
      <c r="K47" s="689"/>
    </row>
    <row r="48" spans="1:24" ht="11.25" customHeight="1" x14ac:dyDescent="0.25">
      <c r="A48" s="67"/>
    </row>
    <row r="49" spans="1:1" ht="11.25" customHeight="1" x14ac:dyDescent="0.25">
      <c r="A49" s="67"/>
    </row>
    <row r="50" spans="1:1" ht="11.25" customHeight="1" x14ac:dyDescent="0.25">
      <c r="A50" s="67"/>
    </row>
    <row r="51" spans="1:1" ht="11.25" customHeight="1" x14ac:dyDescent="0.25"/>
    <row r="52" spans="1:1" ht="11.25" customHeight="1" x14ac:dyDescent="0.25"/>
    <row r="53" spans="1:1" ht="11.25" customHeight="1" x14ac:dyDescent="0.25"/>
    <row r="54" spans="1:1" ht="11.25" customHeight="1" x14ac:dyDescent="0.25"/>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row r="62" spans="1:1" ht="11.25" customHeight="1" x14ac:dyDescent="0.25"/>
    <row r="63" spans="1:1" ht="11.25" customHeight="1" x14ac:dyDescent="0.25"/>
    <row r="64" spans="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sheetData>
  <sheetProtection password="C646" sheet="1" objects="1" scenarios="1"/>
  <mergeCells count="3">
    <mergeCell ref="A1:K1"/>
    <mergeCell ref="B2:B4"/>
    <mergeCell ref="D2:K2"/>
  </mergeCells>
  <phoneticPr fontId="2" type="noConversion"/>
  <printOptions horizontalCentered="1"/>
  <pageMargins left="0.35433070866141736" right="0.15748031496062992" top="0.79" bottom="0.6" header="0.51181102362204722" footer="0.41"/>
  <pageSetup paperSize="9" scale="90" orientation="portrait" r:id="rId1"/>
  <headerFooter alignWithMargins="0"/>
  <ignoredErrors>
    <ignoredError sqref="A6:A20" unlockedFormula="1"/>
    <ignoredError sqref="J21 J39:J4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4"/>
  </sheetPr>
  <dimension ref="A1:X379"/>
  <sheetViews>
    <sheetView showGridLines="0" showZeros="0" zoomScaleNormal="100" workbookViewId="0">
      <pane xSplit="2" ySplit="4" topLeftCell="C174" activePane="bottomRight" state="frozen"/>
      <selection pane="topRight"/>
      <selection pane="bottomLeft"/>
      <selection pane="bottomRight" activeCell="F230" sqref="F230:G230"/>
    </sheetView>
  </sheetViews>
  <sheetFormatPr defaultColWidth="9.140625" defaultRowHeight="12.75" x14ac:dyDescent="0.25"/>
  <cols>
    <col min="1" max="1" width="30.7109375" style="25" customWidth="1"/>
    <col min="2" max="2" width="3" style="494" customWidth="1"/>
    <col min="3" max="11" width="9.28515625" style="25" customWidth="1"/>
    <col min="12" max="23" width="0" style="25" hidden="1" customWidth="1"/>
    <col min="24" max="16384" width="9.140625" style="25"/>
  </cols>
  <sheetData>
    <row r="1" spans="1:23" s="434" customFormat="1" x14ac:dyDescent="0.2">
      <c r="A1" s="433" t="str">
        <f>muni&amp; " - "&amp;S71C&amp; " - "&amp;"A"&amp; " - "&amp;date</f>
        <v>KZN225 Msunduzi - Table C3 Consolidated Monthly Budget Statement - Financial Performance (revenue and expenditure by municipal vote)  - A - Mid-Year Assessment</v>
      </c>
      <c r="B1" s="433"/>
      <c r="C1" s="433"/>
      <c r="D1" s="433"/>
      <c r="E1" s="433"/>
      <c r="F1" s="433"/>
      <c r="G1" s="433"/>
      <c r="H1" s="433"/>
      <c r="I1" s="433"/>
      <c r="J1" s="433"/>
      <c r="K1" s="433"/>
    </row>
    <row r="2" spans="1:23" ht="28.5" customHeight="1" x14ac:dyDescent="0.25">
      <c r="A2" s="435" t="str">
        <f>Vdesc</f>
        <v>Vote Description</v>
      </c>
      <c r="B2" s="436" t="str">
        <f>head27</f>
        <v>Ref</v>
      </c>
      <c r="C2" s="142" t="str">
        <f>Head1</f>
        <v>2019/20</v>
      </c>
      <c r="D2" s="1037" t="str">
        <f>Head2</f>
        <v>Budget Year 2020/21</v>
      </c>
      <c r="E2" s="1038"/>
      <c r="F2" s="1038"/>
      <c r="G2" s="1038"/>
      <c r="H2" s="1038"/>
      <c r="I2" s="1038"/>
      <c r="J2" s="1038"/>
      <c r="K2" s="1039"/>
      <c r="L2" s="1048" t="e">
        <f>Head4</f>
        <v>#REF!</v>
      </c>
      <c r="M2" s="1049"/>
      <c r="N2" s="1049"/>
      <c r="O2" s="1049"/>
      <c r="P2" s="1049"/>
      <c r="Q2" s="1049"/>
      <c r="R2" s="1049"/>
      <c r="S2" s="1049"/>
      <c r="T2" s="1049"/>
      <c r="U2" s="1049"/>
      <c r="V2" s="1049"/>
      <c r="W2" s="1050"/>
    </row>
    <row r="3" spans="1:23" ht="25.5" x14ac:dyDescent="0.25">
      <c r="A3" s="496" t="s">
        <v>120</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0" t="str">
        <f>Head12</f>
        <v>Forecast 2010/11</v>
      </c>
      <c r="M3" s="691" t="str">
        <f>Head13</f>
        <v>Forecast 2011/12</v>
      </c>
      <c r="N3" s="691" t="str">
        <f>Head14</f>
        <v>Forecast 2012/13</v>
      </c>
      <c r="O3" s="691" t="str">
        <f>Head15</f>
        <v>Forecast 2013/14</v>
      </c>
      <c r="P3" s="691" t="str">
        <f>Head16</f>
        <v>Forecast 2014/15</v>
      </c>
      <c r="Q3" s="691" t="str">
        <f>Head17</f>
        <v>Forecast 2015/16</v>
      </c>
      <c r="R3" s="691" t="str">
        <f>Head18</f>
        <v>Forecast 2016/17</v>
      </c>
      <c r="S3" s="691" t="str">
        <f>Head19</f>
        <v>Forecast 2017/18</v>
      </c>
      <c r="T3" s="691" t="str">
        <f>Head20</f>
        <v>Forecast 2018/19</v>
      </c>
      <c r="U3" s="691" t="str">
        <f>Head21</f>
        <v>Forecast 2019/20</v>
      </c>
      <c r="V3" s="691" t="str">
        <f>Head22</f>
        <v>Forecast 2020/21</v>
      </c>
      <c r="W3" s="691" t="str">
        <f>Head23</f>
        <v>Forecast 2021/22</v>
      </c>
    </row>
    <row r="4" spans="1:23" ht="11.25" customHeight="1" x14ac:dyDescent="0.25">
      <c r="A4" s="437"/>
      <c r="B4" s="438"/>
      <c r="C4" s="223"/>
      <c r="D4" s="240"/>
      <c r="E4" s="241"/>
      <c r="F4" s="82"/>
      <c r="G4" s="82"/>
      <c r="H4" s="82"/>
      <c r="I4" s="82"/>
      <c r="J4" s="242" t="s">
        <v>575</v>
      </c>
      <c r="K4" s="223"/>
      <c r="L4" s="424"/>
      <c r="M4" s="38"/>
      <c r="N4" s="38"/>
      <c r="O4" s="38"/>
      <c r="P4" s="38"/>
      <c r="Q4" s="38"/>
      <c r="R4" s="38"/>
      <c r="S4" s="38"/>
      <c r="T4" s="38"/>
      <c r="U4" s="38"/>
      <c r="V4" s="38"/>
      <c r="W4" s="38"/>
    </row>
    <row r="5" spans="1:23" ht="11.25" customHeight="1" x14ac:dyDescent="0.25">
      <c r="A5" s="439" t="s">
        <v>749</v>
      </c>
      <c r="B5" s="415">
        <v>1</v>
      </c>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466" t="str">
        <f>'Org structure'!A2</f>
        <v>Vote 1 - City Manager</v>
      </c>
      <c r="B6" s="440"/>
      <c r="C6" s="503">
        <f>SUM(C7:C16)</f>
        <v>0</v>
      </c>
      <c r="D6" s="444">
        <f t="shared" ref="D6:K6" si="0">SUM(D7:D16)</f>
        <v>4447530.0133999996</v>
      </c>
      <c r="E6" s="441">
        <f t="shared" si="0"/>
        <v>4447530.0133999996</v>
      </c>
      <c r="F6" s="443">
        <f t="shared" si="0"/>
        <v>3000</v>
      </c>
      <c r="G6" s="441">
        <f t="shared" si="0"/>
        <v>3000</v>
      </c>
      <c r="H6" s="443">
        <f t="shared" si="0"/>
        <v>2223765.0066999998</v>
      </c>
      <c r="I6" s="44">
        <f t="shared" ref="I6:I69" si="1">G6-H6</f>
        <v>-2220765.0066999998</v>
      </c>
      <c r="J6" s="330">
        <f t="shared" ref="J6:J69" si="2">IF(I6=0,"",I6/H6)</f>
        <v>-0.99865093659133886</v>
      </c>
      <c r="K6" s="442">
        <f t="shared" si="0"/>
        <v>4447530.0133999996</v>
      </c>
      <c r="L6" s="424"/>
      <c r="M6" s="38"/>
      <c r="N6" s="38"/>
      <c r="O6" s="38"/>
      <c r="P6" s="38"/>
      <c r="Q6" s="38"/>
      <c r="R6" s="38"/>
      <c r="S6" s="38"/>
      <c r="T6" s="38"/>
      <c r="U6" s="38"/>
      <c r="V6" s="38"/>
      <c r="W6" s="38"/>
    </row>
    <row r="7" spans="1:23" ht="11.25" customHeight="1" x14ac:dyDescent="0.25">
      <c r="A7" s="407" t="str">
        <f>'Org structure'!E3</f>
        <v>1.1 - Internal Audit and Compliance</v>
      </c>
      <c r="B7" s="445"/>
      <c r="C7" s="739"/>
      <c r="D7" s="740"/>
      <c r="E7" s="741"/>
      <c r="F7" s="742"/>
      <c r="G7" s="741"/>
      <c r="H7" s="742"/>
      <c r="I7" s="44">
        <f t="shared" si="1"/>
        <v>0</v>
      </c>
      <c r="J7" s="330" t="str">
        <f t="shared" si="2"/>
        <v/>
      </c>
      <c r="K7" s="743"/>
      <c r="L7" s="424"/>
      <c r="M7" s="38"/>
      <c r="N7" s="38"/>
      <c r="O7" s="38"/>
      <c r="P7" s="38"/>
      <c r="Q7" s="38"/>
      <c r="R7" s="38"/>
      <c r="S7" s="38"/>
      <c r="T7" s="38"/>
      <c r="U7" s="38"/>
      <c r="V7" s="38"/>
      <c r="W7" s="38"/>
    </row>
    <row r="8" spans="1:23" ht="11.25" customHeight="1" x14ac:dyDescent="0.25">
      <c r="A8" s="407" t="str">
        <f>'Org structure'!E4</f>
        <v>1.2 - Office of the City Manager</v>
      </c>
      <c r="B8" s="445"/>
      <c r="C8" s="739"/>
      <c r="D8" s="740">
        <v>4447530.0133999996</v>
      </c>
      <c r="E8" s="741">
        <v>4447530.0133999996</v>
      </c>
      <c r="F8" s="742">
        <v>3000</v>
      </c>
      <c r="G8" s="741">
        <v>3000</v>
      </c>
      <c r="H8" s="742">
        <f>E8/12*6</f>
        <v>2223765.0066999998</v>
      </c>
      <c r="I8" s="44">
        <f t="shared" si="1"/>
        <v>-2220765.0066999998</v>
      </c>
      <c r="J8" s="330">
        <f t="shared" si="2"/>
        <v>-0.99865093659133886</v>
      </c>
      <c r="K8" s="743">
        <f>E8</f>
        <v>4447530.0133999996</v>
      </c>
      <c r="L8" s="424"/>
      <c r="M8" s="38"/>
      <c r="N8" s="38"/>
      <c r="O8" s="38"/>
      <c r="P8" s="38"/>
      <c r="Q8" s="38"/>
      <c r="R8" s="38"/>
      <c r="S8" s="38"/>
      <c r="T8" s="38"/>
      <c r="U8" s="38"/>
      <c r="V8" s="38"/>
      <c r="W8" s="38"/>
    </row>
    <row r="9" spans="1:23" ht="11.25" customHeight="1" x14ac:dyDescent="0.25">
      <c r="A9" s="407" t="str">
        <f>'Org structure'!E5</f>
        <v>1.3 - Political Support</v>
      </c>
      <c r="B9" s="445"/>
      <c r="C9" s="739"/>
      <c r="D9" s="740"/>
      <c r="E9" s="741"/>
      <c r="F9" s="742"/>
      <c r="G9" s="741"/>
      <c r="H9" s="742"/>
      <c r="I9" s="44">
        <f t="shared" si="1"/>
        <v>0</v>
      </c>
      <c r="J9" s="330" t="str">
        <f t="shared" si="2"/>
        <v/>
      </c>
      <c r="K9" s="743"/>
      <c r="L9" s="424"/>
      <c r="M9" s="38"/>
      <c r="N9" s="38"/>
      <c r="O9" s="38"/>
      <c r="P9" s="38"/>
      <c r="Q9" s="38"/>
      <c r="R9" s="38"/>
      <c r="S9" s="38"/>
      <c r="T9" s="38"/>
      <c r="U9" s="38"/>
      <c r="V9" s="38"/>
      <c r="W9" s="38"/>
    </row>
    <row r="10" spans="1:23" ht="11.25" customHeight="1" x14ac:dyDescent="0.25">
      <c r="A10" s="407" t="str">
        <f>'Org structure'!E6</f>
        <v>1.4 - Strategic Planning</v>
      </c>
      <c r="B10" s="445"/>
      <c r="C10" s="739"/>
      <c r="D10" s="740"/>
      <c r="E10" s="741"/>
      <c r="F10" s="742"/>
      <c r="G10" s="741"/>
      <c r="H10" s="742"/>
      <c r="I10" s="44">
        <f t="shared" si="1"/>
        <v>0</v>
      </c>
      <c r="J10" s="330" t="str">
        <f t="shared" si="2"/>
        <v/>
      </c>
      <c r="K10" s="743"/>
      <c r="L10" s="424"/>
      <c r="M10" s="38"/>
      <c r="N10" s="38"/>
      <c r="O10" s="38"/>
      <c r="P10" s="38"/>
      <c r="Q10" s="38"/>
      <c r="R10" s="38"/>
      <c r="S10" s="38"/>
      <c r="T10" s="38"/>
      <c r="U10" s="38"/>
      <c r="V10" s="38"/>
      <c r="W10" s="38"/>
    </row>
    <row r="11" spans="1:23" ht="11.25" hidden="1" customHeight="1" x14ac:dyDescent="0.25">
      <c r="A11" s="407">
        <f>'Org structure'!E7</f>
        <v>0</v>
      </c>
      <c r="B11" s="445"/>
      <c r="C11" s="739"/>
      <c r="D11" s="740"/>
      <c r="E11" s="741"/>
      <c r="F11" s="742"/>
      <c r="G11" s="741"/>
      <c r="H11" s="742"/>
      <c r="I11" s="44">
        <f t="shared" si="1"/>
        <v>0</v>
      </c>
      <c r="J11" s="330" t="str">
        <f t="shared" si="2"/>
        <v/>
      </c>
      <c r="K11" s="743"/>
      <c r="L11" s="424"/>
      <c r="M11" s="38"/>
      <c r="N11" s="38"/>
      <c r="O11" s="38"/>
      <c r="P11" s="38"/>
      <c r="Q11" s="38"/>
      <c r="R11" s="38"/>
      <c r="S11" s="38"/>
      <c r="T11" s="38"/>
      <c r="U11" s="38"/>
      <c r="V11" s="38"/>
      <c r="W11" s="38"/>
    </row>
    <row r="12" spans="1:23" ht="11.25" hidden="1" customHeight="1" x14ac:dyDescent="0.25">
      <c r="A12" s="407">
        <f>'Org structure'!E8</f>
        <v>0</v>
      </c>
      <c r="B12" s="445"/>
      <c r="C12" s="739"/>
      <c r="D12" s="740"/>
      <c r="E12" s="741"/>
      <c r="F12" s="742"/>
      <c r="G12" s="741"/>
      <c r="H12" s="742"/>
      <c r="I12" s="44">
        <f t="shared" si="1"/>
        <v>0</v>
      </c>
      <c r="J12" s="330" t="str">
        <f t="shared" si="2"/>
        <v/>
      </c>
      <c r="K12" s="743"/>
      <c r="L12" s="424"/>
      <c r="M12" s="38"/>
      <c r="N12" s="38"/>
      <c r="O12" s="38"/>
      <c r="P12" s="38"/>
      <c r="Q12" s="38"/>
      <c r="R12" s="38"/>
      <c r="S12" s="38"/>
      <c r="T12" s="38"/>
      <c r="U12" s="38"/>
      <c r="V12" s="38"/>
      <c r="W12" s="38"/>
    </row>
    <row r="13" spans="1:23" ht="11.25" hidden="1" customHeight="1" x14ac:dyDescent="0.25">
      <c r="A13" s="407">
        <f>'Org structure'!E9</f>
        <v>0</v>
      </c>
      <c r="B13" s="445"/>
      <c r="C13" s="739"/>
      <c r="D13" s="740"/>
      <c r="E13" s="741"/>
      <c r="F13" s="742"/>
      <c r="G13" s="741"/>
      <c r="H13" s="742"/>
      <c r="I13" s="44">
        <f t="shared" si="1"/>
        <v>0</v>
      </c>
      <c r="J13" s="330" t="str">
        <f t="shared" si="2"/>
        <v/>
      </c>
      <c r="K13" s="743"/>
      <c r="L13" s="424"/>
      <c r="M13" s="38"/>
      <c r="N13" s="38"/>
      <c r="O13" s="38"/>
      <c r="P13" s="38"/>
      <c r="Q13" s="38"/>
      <c r="R13" s="38"/>
      <c r="S13" s="38"/>
      <c r="T13" s="38"/>
      <c r="U13" s="38"/>
      <c r="V13" s="38"/>
      <c r="W13" s="38"/>
    </row>
    <row r="14" spans="1:23" ht="11.25" hidden="1" customHeight="1" x14ac:dyDescent="0.25">
      <c r="A14" s="407">
        <f>'Org structure'!E10</f>
        <v>0</v>
      </c>
      <c r="B14" s="445"/>
      <c r="C14" s="739"/>
      <c r="D14" s="740"/>
      <c r="E14" s="741"/>
      <c r="F14" s="742"/>
      <c r="G14" s="741"/>
      <c r="H14" s="742"/>
      <c r="I14" s="44">
        <f t="shared" si="1"/>
        <v>0</v>
      </c>
      <c r="J14" s="330" t="str">
        <f t="shared" si="2"/>
        <v/>
      </c>
      <c r="K14" s="743"/>
      <c r="L14" s="424"/>
      <c r="M14" s="38"/>
      <c r="N14" s="38"/>
      <c r="O14" s="38"/>
      <c r="P14" s="38"/>
      <c r="Q14" s="38"/>
      <c r="R14" s="38"/>
      <c r="S14" s="38"/>
      <c r="T14" s="38"/>
      <c r="U14" s="38"/>
      <c r="V14" s="38"/>
      <c r="W14" s="38"/>
    </row>
    <row r="15" spans="1:23" ht="11.25" hidden="1" customHeight="1" x14ac:dyDescent="0.25">
      <c r="A15" s="407">
        <f>'Org structure'!E11</f>
        <v>0</v>
      </c>
      <c r="B15" s="445"/>
      <c r="C15" s="739"/>
      <c r="D15" s="740"/>
      <c r="E15" s="741"/>
      <c r="F15" s="742"/>
      <c r="G15" s="741"/>
      <c r="H15" s="742"/>
      <c r="I15" s="44">
        <f t="shared" si="1"/>
        <v>0</v>
      </c>
      <c r="J15" s="330" t="str">
        <f t="shared" si="2"/>
        <v/>
      </c>
      <c r="K15" s="743"/>
      <c r="L15" s="424"/>
      <c r="M15" s="38"/>
      <c r="N15" s="38"/>
      <c r="O15" s="38"/>
      <c r="P15" s="38"/>
      <c r="Q15" s="38"/>
      <c r="R15" s="38"/>
      <c r="S15" s="38"/>
      <c r="T15" s="38"/>
      <c r="U15" s="38"/>
      <c r="V15" s="38"/>
      <c r="W15" s="38"/>
    </row>
    <row r="16" spans="1:23" ht="11.25" hidden="1" customHeight="1" x14ac:dyDescent="0.25">
      <c r="A16" s="407">
        <f>'Org structure'!E12</f>
        <v>0</v>
      </c>
      <c r="B16" s="445"/>
      <c r="C16" s="739"/>
      <c r="D16" s="740"/>
      <c r="E16" s="741"/>
      <c r="F16" s="742"/>
      <c r="G16" s="741"/>
      <c r="H16" s="742"/>
      <c r="I16" s="44">
        <f t="shared" si="1"/>
        <v>0</v>
      </c>
      <c r="J16" s="330" t="str">
        <f t="shared" si="2"/>
        <v/>
      </c>
      <c r="K16" s="743"/>
      <c r="L16" s="424"/>
      <c r="M16" s="38"/>
      <c r="N16" s="38"/>
      <c r="O16" s="38"/>
      <c r="P16" s="38"/>
      <c r="Q16" s="38"/>
      <c r="R16" s="38"/>
      <c r="S16" s="38"/>
      <c r="T16" s="38"/>
      <c r="U16" s="38"/>
      <c r="V16" s="38"/>
      <c r="W16" s="38"/>
    </row>
    <row r="17" spans="1:23" ht="11.25" customHeight="1" x14ac:dyDescent="0.25">
      <c r="A17" s="466" t="str">
        <f>'Org structure'!A3</f>
        <v>Vote 2 - City Finance</v>
      </c>
      <c r="B17" s="440"/>
      <c r="C17" s="503">
        <f>SUM(C18:C27)</f>
        <v>0</v>
      </c>
      <c r="D17" s="444">
        <f t="shared" ref="D17:K17" si="3">SUM(D18:D27)</f>
        <v>2396133945.7871332</v>
      </c>
      <c r="E17" s="441">
        <f t="shared" si="3"/>
        <v>2485131945.7871332</v>
      </c>
      <c r="F17" s="443">
        <f t="shared" si="3"/>
        <v>257653600.01999998</v>
      </c>
      <c r="G17" s="441">
        <f t="shared" si="3"/>
        <v>974191573.89999998</v>
      </c>
      <c r="H17" s="443">
        <f t="shared" si="3"/>
        <v>1242565972.8935666</v>
      </c>
      <c r="I17" s="44">
        <f t="shared" si="1"/>
        <v>-268374398.99356663</v>
      </c>
      <c r="J17" s="330">
        <f t="shared" si="2"/>
        <v>-0.21598402406642642</v>
      </c>
      <c r="K17" s="442">
        <f t="shared" si="3"/>
        <v>2485131945.7871332</v>
      </c>
      <c r="L17" s="424"/>
      <c r="M17" s="38"/>
      <c r="N17" s="38"/>
      <c r="O17" s="38"/>
      <c r="P17" s="38"/>
      <c r="Q17" s="38"/>
      <c r="R17" s="38"/>
      <c r="S17" s="38"/>
      <c r="T17" s="38"/>
      <c r="U17" s="38"/>
      <c r="V17" s="38"/>
      <c r="W17" s="38"/>
    </row>
    <row r="18" spans="1:23" ht="11.25" customHeight="1" x14ac:dyDescent="0.25">
      <c r="A18" s="407" t="str">
        <f>'Org structure'!E14</f>
        <v>2.1 - Asset Management</v>
      </c>
      <c r="B18" s="445"/>
      <c r="C18" s="739"/>
      <c r="D18" s="740"/>
      <c r="E18" s="741"/>
      <c r="F18" s="742">
        <v>1102300.26</v>
      </c>
      <c r="G18" s="741">
        <v>-1039955.57</v>
      </c>
      <c r="H18" s="742"/>
      <c r="I18" s="44">
        <f t="shared" si="1"/>
        <v>-1039955.57</v>
      </c>
      <c r="J18" s="330" t="e">
        <f t="shared" si="2"/>
        <v>#DIV/0!</v>
      </c>
      <c r="K18" s="743"/>
      <c r="L18" s="424"/>
      <c r="M18" s="38"/>
      <c r="N18" s="38"/>
      <c r="O18" s="38"/>
      <c r="P18" s="38"/>
      <c r="Q18" s="38"/>
      <c r="R18" s="38"/>
      <c r="S18" s="38"/>
      <c r="T18" s="38"/>
      <c r="U18" s="38"/>
      <c r="V18" s="38"/>
      <c r="W18" s="38"/>
    </row>
    <row r="19" spans="1:23" ht="11.25" customHeight="1" x14ac:dyDescent="0.25">
      <c r="A19" s="407" t="str">
        <f>'Org structure'!E15</f>
        <v>2.2 - Budget and Treasury Management</v>
      </c>
      <c r="B19" s="445"/>
      <c r="C19" s="739"/>
      <c r="D19" s="740">
        <v>518591000.00000095</v>
      </c>
      <c r="E19" s="741">
        <v>607589000.00000095</v>
      </c>
      <c r="F19" s="742">
        <v>148175349.24000001</v>
      </c>
      <c r="G19" s="741">
        <v>299005546.86000001</v>
      </c>
      <c r="H19" s="742">
        <f>E19/12*6</f>
        <v>303794500.00000048</v>
      </c>
      <c r="I19" s="44">
        <f t="shared" si="1"/>
        <v>-4788953.1400004625</v>
      </c>
      <c r="J19" s="330">
        <f t="shared" si="2"/>
        <v>-1.5763791444547072E-2</v>
      </c>
      <c r="K19" s="743">
        <f>E19</f>
        <v>607589000.00000095</v>
      </c>
      <c r="L19" s="424"/>
      <c r="M19" s="38"/>
      <c r="N19" s="38"/>
      <c r="O19" s="38"/>
      <c r="P19" s="38"/>
      <c r="Q19" s="38"/>
      <c r="R19" s="38"/>
      <c r="S19" s="38"/>
      <c r="T19" s="38"/>
      <c r="U19" s="38"/>
      <c r="V19" s="38"/>
      <c r="W19" s="38"/>
    </row>
    <row r="20" spans="1:23" ht="11.25" customHeight="1" x14ac:dyDescent="0.25">
      <c r="A20" s="407" t="str">
        <f>'Org structure'!E16</f>
        <v>2.3 - Expenditure Management</v>
      </c>
      <c r="B20" s="445"/>
      <c r="C20" s="739"/>
      <c r="D20" s="740"/>
      <c r="E20" s="741"/>
      <c r="F20" s="742"/>
      <c r="G20" s="741"/>
      <c r="H20" s="742"/>
      <c r="I20" s="44">
        <f t="shared" si="1"/>
        <v>0</v>
      </c>
      <c r="J20" s="330" t="str">
        <f t="shared" si="2"/>
        <v/>
      </c>
      <c r="K20" s="743"/>
      <c r="L20" s="424"/>
      <c r="M20" s="38"/>
      <c r="N20" s="38"/>
      <c r="O20" s="38"/>
      <c r="P20" s="38"/>
      <c r="Q20" s="38"/>
      <c r="R20" s="38"/>
      <c r="S20" s="38"/>
      <c r="T20" s="38"/>
      <c r="U20" s="38"/>
      <c r="V20" s="38"/>
      <c r="W20" s="38"/>
    </row>
    <row r="21" spans="1:23" ht="11.25" customHeight="1" x14ac:dyDescent="0.25">
      <c r="A21" s="407" t="str">
        <f>'Org structure'!E17</f>
        <v>2.4 - Revenue Management</v>
      </c>
      <c r="B21" s="445"/>
      <c r="C21" s="739"/>
      <c r="D21" s="740">
        <v>1877542945.7871323</v>
      </c>
      <c r="E21" s="741">
        <v>1877542945.7871323</v>
      </c>
      <c r="F21" s="742">
        <v>108373610.7</v>
      </c>
      <c r="G21" s="741">
        <v>676166443.95000005</v>
      </c>
      <c r="H21" s="742">
        <f>E21/12*6</f>
        <v>938771472.89356613</v>
      </c>
      <c r="I21" s="44">
        <f t="shared" si="1"/>
        <v>-262605028.94356608</v>
      </c>
      <c r="J21" s="330">
        <f t="shared" si="2"/>
        <v>-0.27973264689663097</v>
      </c>
      <c r="K21" s="743">
        <f>E21</f>
        <v>1877542945.7871323</v>
      </c>
      <c r="L21" s="424"/>
      <c r="M21" s="38"/>
      <c r="N21" s="38"/>
      <c r="O21" s="38"/>
      <c r="P21" s="38"/>
      <c r="Q21" s="38"/>
      <c r="R21" s="38"/>
      <c r="S21" s="38"/>
      <c r="T21" s="38"/>
      <c r="U21" s="38"/>
      <c r="V21" s="38"/>
      <c r="W21" s="38"/>
    </row>
    <row r="22" spans="1:23" ht="11.25" customHeight="1" x14ac:dyDescent="0.25">
      <c r="A22" s="407" t="str">
        <f>'Org structure'!E18</f>
        <v>2.5 - Supply Chain Management</v>
      </c>
      <c r="B22" s="445"/>
      <c r="C22" s="739"/>
      <c r="D22" s="740"/>
      <c r="E22" s="741"/>
      <c r="F22" s="742">
        <v>2339.8200000000002</v>
      </c>
      <c r="G22" s="741">
        <v>59538.66</v>
      </c>
      <c r="H22" s="742"/>
      <c r="I22" s="44">
        <f t="shared" si="1"/>
        <v>59538.66</v>
      </c>
      <c r="J22" s="330" t="e">
        <f t="shared" si="2"/>
        <v>#DIV/0!</v>
      </c>
      <c r="K22" s="743"/>
      <c r="L22" s="424"/>
      <c r="M22" s="38"/>
      <c r="N22" s="38"/>
      <c r="O22" s="38"/>
      <c r="P22" s="38"/>
      <c r="Q22" s="38"/>
      <c r="R22" s="38"/>
      <c r="S22" s="38"/>
      <c r="T22" s="38"/>
      <c r="U22" s="38"/>
      <c r="V22" s="38"/>
      <c r="W22" s="38"/>
    </row>
    <row r="23" spans="1:23" ht="11.25" hidden="1" customHeight="1" x14ac:dyDescent="0.25">
      <c r="A23" s="407">
        <f>'Org structure'!E19</f>
        <v>0</v>
      </c>
      <c r="B23" s="445"/>
      <c r="C23" s="739"/>
      <c r="D23" s="740"/>
      <c r="E23" s="741"/>
      <c r="F23" s="742"/>
      <c r="G23" s="741"/>
      <c r="H23" s="742"/>
      <c r="I23" s="44">
        <f t="shared" si="1"/>
        <v>0</v>
      </c>
      <c r="J23" s="330" t="str">
        <f t="shared" si="2"/>
        <v/>
      </c>
      <c r="K23" s="743"/>
      <c r="L23" s="424"/>
      <c r="M23" s="38"/>
      <c r="N23" s="38"/>
      <c r="O23" s="38"/>
      <c r="P23" s="38"/>
      <c r="Q23" s="38"/>
      <c r="R23" s="38"/>
      <c r="S23" s="38"/>
      <c r="T23" s="38"/>
      <c r="U23" s="38"/>
      <c r="V23" s="38"/>
      <c r="W23" s="38"/>
    </row>
    <row r="24" spans="1:23" ht="11.25" hidden="1" customHeight="1" x14ac:dyDescent="0.25">
      <c r="A24" s="407">
        <f>'Org structure'!E20</f>
        <v>0</v>
      </c>
      <c r="B24" s="445"/>
      <c r="C24" s="739"/>
      <c r="D24" s="740"/>
      <c r="E24" s="741"/>
      <c r="F24" s="742"/>
      <c r="G24" s="741"/>
      <c r="H24" s="742"/>
      <c r="I24" s="44">
        <f t="shared" si="1"/>
        <v>0</v>
      </c>
      <c r="J24" s="330" t="str">
        <f t="shared" si="2"/>
        <v/>
      </c>
      <c r="K24" s="743"/>
      <c r="L24" s="424"/>
      <c r="M24" s="38"/>
      <c r="N24" s="38"/>
      <c r="O24" s="38"/>
      <c r="P24" s="38"/>
      <c r="Q24" s="38"/>
      <c r="R24" s="38"/>
      <c r="S24" s="38"/>
      <c r="T24" s="38"/>
      <c r="U24" s="38"/>
      <c r="V24" s="38"/>
      <c r="W24" s="38"/>
    </row>
    <row r="25" spans="1:23" ht="11.25" hidden="1" customHeight="1" x14ac:dyDescent="0.25">
      <c r="A25" s="407">
        <f>'Org structure'!E21</f>
        <v>0</v>
      </c>
      <c r="B25" s="445"/>
      <c r="C25" s="739"/>
      <c r="D25" s="740"/>
      <c r="E25" s="741"/>
      <c r="F25" s="742"/>
      <c r="G25" s="741"/>
      <c r="H25" s="742"/>
      <c r="I25" s="44">
        <f t="shared" si="1"/>
        <v>0</v>
      </c>
      <c r="J25" s="330" t="str">
        <f t="shared" si="2"/>
        <v/>
      </c>
      <c r="K25" s="743"/>
      <c r="L25" s="424"/>
      <c r="M25" s="38"/>
      <c r="N25" s="38"/>
      <c r="O25" s="38"/>
      <c r="P25" s="38"/>
      <c r="Q25" s="38"/>
      <c r="R25" s="38"/>
      <c r="S25" s="38"/>
      <c r="T25" s="38"/>
      <c r="U25" s="38"/>
      <c r="V25" s="38"/>
      <c r="W25" s="38"/>
    </row>
    <row r="26" spans="1:23" ht="11.25" hidden="1" customHeight="1" x14ac:dyDescent="0.25">
      <c r="A26" s="407">
        <f>'Org structure'!E22</f>
        <v>0</v>
      </c>
      <c r="B26" s="445"/>
      <c r="C26" s="739"/>
      <c r="D26" s="740"/>
      <c r="E26" s="741"/>
      <c r="F26" s="742"/>
      <c r="G26" s="741"/>
      <c r="H26" s="742"/>
      <c r="I26" s="44">
        <f t="shared" si="1"/>
        <v>0</v>
      </c>
      <c r="J26" s="330" t="str">
        <f t="shared" si="2"/>
        <v/>
      </c>
      <c r="K26" s="743"/>
      <c r="L26" s="424"/>
      <c r="M26" s="38"/>
      <c r="N26" s="38"/>
      <c r="O26" s="38"/>
      <c r="P26" s="38"/>
      <c r="Q26" s="38"/>
      <c r="R26" s="38"/>
      <c r="S26" s="38"/>
      <c r="T26" s="38"/>
      <c r="U26" s="38"/>
      <c r="V26" s="38"/>
      <c r="W26" s="38"/>
    </row>
    <row r="27" spans="1:23" ht="11.25" hidden="1" customHeight="1" x14ac:dyDescent="0.25">
      <c r="A27" s="407">
        <f>'Org structure'!E23</f>
        <v>0</v>
      </c>
      <c r="B27" s="445"/>
      <c r="C27" s="739"/>
      <c r="D27" s="740"/>
      <c r="E27" s="741"/>
      <c r="F27" s="742"/>
      <c r="G27" s="741"/>
      <c r="H27" s="742"/>
      <c r="I27" s="44">
        <f t="shared" si="1"/>
        <v>0</v>
      </c>
      <c r="J27" s="330" t="str">
        <f t="shared" si="2"/>
        <v/>
      </c>
      <c r="K27" s="743"/>
      <c r="L27" s="424"/>
      <c r="M27" s="38"/>
      <c r="N27" s="38"/>
      <c r="O27" s="38"/>
      <c r="P27" s="38"/>
      <c r="Q27" s="38"/>
      <c r="R27" s="38"/>
      <c r="S27" s="38"/>
      <c r="T27" s="38"/>
      <c r="U27" s="38"/>
      <c r="V27" s="38"/>
      <c r="W27" s="38"/>
    </row>
    <row r="28" spans="1:23" ht="11.25" customHeight="1" x14ac:dyDescent="0.25">
      <c r="A28" s="466" t="str">
        <f>'Org structure'!A4</f>
        <v>Vote 3 - Community Services and Social Equity</v>
      </c>
      <c r="B28" s="440"/>
      <c r="C28" s="503">
        <f t="shared" ref="C28:K28" si="4">SUM(C29:C38)</f>
        <v>0</v>
      </c>
      <c r="D28" s="444">
        <f t="shared" si="4"/>
        <v>214664344.29579172</v>
      </c>
      <c r="E28" s="441">
        <f t="shared" si="4"/>
        <v>214664344.29579172</v>
      </c>
      <c r="F28" s="443">
        <f>SUM(F29:F32)</f>
        <v>21794803.909999996</v>
      </c>
      <c r="G28" s="441">
        <f>SUM(G29:G32)</f>
        <v>101038640.50999999</v>
      </c>
      <c r="H28" s="443">
        <f t="shared" si="4"/>
        <v>107332172.14789586</v>
      </c>
      <c r="I28" s="44">
        <f t="shared" si="1"/>
        <v>-6293531.6378958672</v>
      </c>
      <c r="J28" s="330">
        <f t="shared" si="2"/>
        <v>-5.8636022284388717E-2</v>
      </c>
      <c r="K28" s="442">
        <f t="shared" si="4"/>
        <v>214664344.29579172</v>
      </c>
      <c r="L28" s="424"/>
      <c r="M28" s="38"/>
      <c r="N28" s="38"/>
      <c r="O28" s="38"/>
      <c r="P28" s="38"/>
      <c r="Q28" s="38"/>
      <c r="R28" s="38"/>
      <c r="S28" s="38"/>
      <c r="T28" s="38"/>
      <c r="U28" s="38"/>
      <c r="V28" s="38"/>
      <c r="W28" s="38"/>
    </row>
    <row r="29" spans="1:23" ht="11.25" customHeight="1" x14ac:dyDescent="0.25">
      <c r="A29" s="407" t="str">
        <f>'Org structure'!E25</f>
        <v xml:space="preserve">3.1 - Area Based Management </v>
      </c>
      <c r="B29" s="445"/>
      <c r="C29" s="739"/>
      <c r="D29" s="740">
        <v>3523188.2817999995</v>
      </c>
      <c r="E29" s="741">
        <v>3523188.2817999995</v>
      </c>
      <c r="F29" s="742">
        <v>29111.96</v>
      </c>
      <c r="G29" s="741">
        <v>104662.26</v>
      </c>
      <c r="H29" s="741">
        <f t="shared" ref="H29:H32" si="5">E29/12*6</f>
        <v>1761594.1408999998</v>
      </c>
      <c r="I29" s="258">
        <f t="shared" si="1"/>
        <v>-1656931.8808999998</v>
      </c>
      <c r="J29" s="330">
        <f t="shared" si="2"/>
        <v>-0.94058662119157144</v>
      </c>
      <c r="K29" s="743">
        <f t="shared" ref="K29:K32" si="6">E29</f>
        <v>3523188.2817999995</v>
      </c>
      <c r="L29" s="424"/>
      <c r="M29" s="38"/>
      <c r="N29" s="38"/>
      <c r="O29" s="38"/>
      <c r="P29" s="38"/>
      <c r="Q29" s="38"/>
      <c r="R29" s="38"/>
      <c r="S29" s="38"/>
      <c r="T29" s="38"/>
      <c r="U29" s="38"/>
      <c r="V29" s="38"/>
      <c r="W29" s="38"/>
    </row>
    <row r="30" spans="1:23" ht="11.25" customHeight="1" x14ac:dyDescent="0.25">
      <c r="A30" s="407" t="str">
        <f>'Org structure'!E26</f>
        <v>3.2 - Public Safety, Emergency Services and Enforcement</v>
      </c>
      <c r="B30" s="445"/>
      <c r="C30" s="739"/>
      <c r="D30" s="740">
        <v>4814533.8647999996</v>
      </c>
      <c r="E30" s="741">
        <v>4814533.8647999996</v>
      </c>
      <c r="F30" s="742">
        <v>56833.71</v>
      </c>
      <c r="G30" s="741">
        <v>881050.07</v>
      </c>
      <c r="H30" s="742">
        <f t="shared" si="5"/>
        <v>2407266.9323999998</v>
      </c>
      <c r="I30" s="44">
        <f t="shared" si="1"/>
        <v>-1526216.8624</v>
      </c>
      <c r="J30" s="330">
        <f t="shared" si="2"/>
        <v>-0.63400399924838846</v>
      </c>
      <c r="K30" s="743">
        <f t="shared" si="6"/>
        <v>4814533.8647999996</v>
      </c>
      <c r="L30" s="424"/>
      <c r="M30" s="38"/>
      <c r="N30" s="38"/>
      <c r="O30" s="38"/>
      <c r="P30" s="38"/>
      <c r="Q30" s="38"/>
      <c r="R30" s="38"/>
      <c r="S30" s="38"/>
      <c r="T30" s="38"/>
      <c r="U30" s="38"/>
      <c r="V30" s="38"/>
      <c r="W30" s="38"/>
    </row>
    <row r="31" spans="1:23" ht="11.25" customHeight="1" x14ac:dyDescent="0.25">
      <c r="A31" s="407" t="str">
        <f>'Org structure'!E27</f>
        <v>3.3 - Recreation and Facilities</v>
      </c>
      <c r="B31" s="445"/>
      <c r="C31" s="739"/>
      <c r="D31" s="740">
        <v>21976054.78726843</v>
      </c>
      <c r="E31" s="741">
        <v>21976054.78726843</v>
      </c>
      <c r="F31" s="742">
        <v>1897304.66</v>
      </c>
      <c r="G31" s="741">
        <v>13774419.939999999</v>
      </c>
      <c r="H31" s="742">
        <f t="shared" si="5"/>
        <v>10988027.393634215</v>
      </c>
      <c r="I31" s="44">
        <f t="shared" si="1"/>
        <v>2786392.5463657845</v>
      </c>
      <c r="J31" s="330">
        <f t="shared" si="2"/>
        <v>0.25358441934537296</v>
      </c>
      <c r="K31" s="743">
        <f t="shared" si="6"/>
        <v>21976054.78726843</v>
      </c>
      <c r="L31" s="424"/>
      <c r="M31" s="38"/>
      <c r="N31" s="38"/>
      <c r="O31" s="38"/>
      <c r="P31" s="38"/>
      <c r="Q31" s="38"/>
      <c r="R31" s="38"/>
      <c r="S31" s="38"/>
      <c r="T31" s="38"/>
      <c r="U31" s="38"/>
      <c r="V31" s="38"/>
      <c r="W31" s="38"/>
    </row>
    <row r="32" spans="1:23" ht="11.25" customHeight="1" x14ac:dyDescent="0.25">
      <c r="A32" s="407" t="str">
        <f>'Org structure'!E28</f>
        <v>3.4 - Waste Management</v>
      </c>
      <c r="B32" s="445"/>
      <c r="C32" s="739"/>
      <c r="D32" s="740">
        <v>184350567.36192328</v>
      </c>
      <c r="E32" s="741">
        <v>184350567.36192328</v>
      </c>
      <c r="F32" s="742">
        <v>19811553.579999998</v>
      </c>
      <c r="G32" s="741">
        <v>86278508.239999995</v>
      </c>
      <c r="H32" s="742">
        <f t="shared" si="5"/>
        <v>92175283.680961639</v>
      </c>
      <c r="I32" s="44">
        <f t="shared" si="1"/>
        <v>-5896775.4409616441</v>
      </c>
      <c r="J32" s="330">
        <f t="shared" si="2"/>
        <v>-6.3973499244891333E-2</v>
      </c>
      <c r="K32" s="743">
        <f t="shared" si="6"/>
        <v>184350567.36192328</v>
      </c>
      <c r="L32" s="424"/>
      <c r="M32" s="38"/>
      <c r="N32" s="38"/>
      <c r="O32" s="38"/>
      <c r="P32" s="38"/>
      <c r="Q32" s="38"/>
      <c r="R32" s="38"/>
      <c r="S32" s="38"/>
      <c r="T32" s="38"/>
      <c r="U32" s="38"/>
      <c r="V32" s="38"/>
      <c r="W32" s="38"/>
    </row>
    <row r="33" spans="1:23" ht="11.25" hidden="1" customHeight="1" x14ac:dyDescent="0.25">
      <c r="A33" s="407">
        <f>'Org structure'!E29</f>
        <v>0</v>
      </c>
      <c r="B33" s="445"/>
      <c r="C33" s="739"/>
      <c r="D33" s="740"/>
      <c r="E33" s="741"/>
      <c r="F33" s="742">
        <v>16068403.749999996</v>
      </c>
      <c r="G33" s="741">
        <v>66465672.390000001</v>
      </c>
      <c r="H33" s="742"/>
      <c r="I33" s="44">
        <f t="shared" si="1"/>
        <v>66465672.390000001</v>
      </c>
      <c r="J33" s="330" t="e">
        <f t="shared" si="2"/>
        <v>#DIV/0!</v>
      </c>
      <c r="K33" s="743"/>
      <c r="L33" s="424"/>
      <c r="M33" s="38"/>
      <c r="N33" s="38"/>
      <c r="O33" s="38"/>
      <c r="P33" s="38"/>
      <c r="Q33" s="38"/>
      <c r="R33" s="38"/>
      <c r="S33" s="38"/>
      <c r="T33" s="38"/>
      <c r="U33" s="38"/>
      <c r="V33" s="38"/>
      <c r="W33" s="38"/>
    </row>
    <row r="34" spans="1:23" ht="11.25" hidden="1" customHeight="1" x14ac:dyDescent="0.25">
      <c r="A34" s="407">
        <f>'Org structure'!E30</f>
        <v>0</v>
      </c>
      <c r="B34" s="445"/>
      <c r="C34" s="739"/>
      <c r="D34" s="740"/>
      <c r="E34" s="741"/>
      <c r="F34" s="742"/>
      <c r="G34" s="741"/>
      <c r="H34" s="742"/>
      <c r="I34" s="44">
        <f t="shared" si="1"/>
        <v>0</v>
      </c>
      <c r="J34" s="330" t="str">
        <f t="shared" si="2"/>
        <v/>
      </c>
      <c r="K34" s="743"/>
      <c r="L34" s="424"/>
      <c r="M34" s="38"/>
      <c r="N34" s="38"/>
      <c r="O34" s="38"/>
      <c r="P34" s="38"/>
      <c r="Q34" s="38"/>
      <c r="R34" s="38"/>
      <c r="S34" s="38"/>
      <c r="T34" s="38"/>
      <c r="U34" s="38"/>
      <c r="V34" s="38"/>
      <c r="W34" s="38"/>
    </row>
    <row r="35" spans="1:23" ht="11.25" hidden="1" customHeight="1" x14ac:dyDescent="0.25">
      <c r="A35" s="407">
        <f>'Org structure'!E31</f>
        <v>0</v>
      </c>
      <c r="B35" s="445"/>
      <c r="C35" s="739"/>
      <c r="D35" s="740"/>
      <c r="E35" s="741"/>
      <c r="F35" s="742"/>
      <c r="G35" s="741"/>
      <c r="H35" s="742"/>
      <c r="I35" s="44">
        <f t="shared" si="1"/>
        <v>0</v>
      </c>
      <c r="J35" s="330" t="str">
        <f t="shared" si="2"/>
        <v/>
      </c>
      <c r="K35" s="743"/>
      <c r="L35" s="424"/>
      <c r="M35" s="38"/>
      <c r="N35" s="38"/>
      <c r="O35" s="38"/>
      <c r="P35" s="38"/>
      <c r="Q35" s="38"/>
      <c r="R35" s="38"/>
      <c r="S35" s="38"/>
      <c r="T35" s="38"/>
      <c r="U35" s="38"/>
      <c r="V35" s="38"/>
      <c r="W35" s="38"/>
    </row>
    <row r="36" spans="1:23" ht="11.25" hidden="1" customHeight="1" x14ac:dyDescent="0.25">
      <c r="A36" s="407">
        <f>'Org structure'!E32</f>
        <v>0</v>
      </c>
      <c r="B36" s="445"/>
      <c r="C36" s="739"/>
      <c r="D36" s="740"/>
      <c r="E36" s="741"/>
      <c r="F36" s="742"/>
      <c r="G36" s="741"/>
      <c r="H36" s="742"/>
      <c r="I36" s="44">
        <f t="shared" si="1"/>
        <v>0</v>
      </c>
      <c r="J36" s="330" t="str">
        <f t="shared" si="2"/>
        <v/>
      </c>
      <c r="K36" s="743"/>
      <c r="L36" s="424"/>
      <c r="M36" s="38"/>
      <c r="N36" s="38"/>
      <c r="O36" s="38"/>
      <c r="P36" s="38"/>
      <c r="Q36" s="38"/>
      <c r="R36" s="38"/>
      <c r="S36" s="38"/>
      <c r="T36" s="38"/>
      <c r="U36" s="38"/>
      <c r="V36" s="38"/>
      <c r="W36" s="38"/>
    </row>
    <row r="37" spans="1:23" ht="11.25" hidden="1" customHeight="1" x14ac:dyDescent="0.25">
      <c r="A37" s="407">
        <f>'Org structure'!E33</f>
        <v>0</v>
      </c>
      <c r="B37" s="445"/>
      <c r="C37" s="739"/>
      <c r="D37" s="740"/>
      <c r="E37" s="741"/>
      <c r="F37" s="742"/>
      <c r="G37" s="741"/>
      <c r="H37" s="742"/>
      <c r="I37" s="44">
        <f t="shared" si="1"/>
        <v>0</v>
      </c>
      <c r="J37" s="330" t="str">
        <f t="shared" si="2"/>
        <v/>
      </c>
      <c r="K37" s="743"/>
      <c r="L37" s="424"/>
      <c r="M37" s="38"/>
      <c r="N37" s="38"/>
      <c r="O37" s="38"/>
      <c r="P37" s="38"/>
      <c r="Q37" s="38"/>
      <c r="R37" s="38"/>
      <c r="S37" s="38"/>
      <c r="T37" s="38"/>
      <c r="U37" s="38"/>
      <c r="V37" s="38"/>
      <c r="W37" s="38"/>
    </row>
    <row r="38" spans="1:23" ht="11.25" hidden="1" customHeight="1" x14ac:dyDescent="0.25">
      <c r="A38" s="407">
        <f>'Org structure'!E34</f>
        <v>0</v>
      </c>
      <c r="B38" s="445"/>
      <c r="C38" s="739"/>
      <c r="D38" s="740"/>
      <c r="E38" s="741"/>
      <c r="F38" s="742"/>
      <c r="G38" s="741"/>
      <c r="H38" s="742"/>
      <c r="I38" s="44">
        <f t="shared" si="1"/>
        <v>0</v>
      </c>
      <c r="J38" s="330" t="str">
        <f t="shared" si="2"/>
        <v/>
      </c>
      <c r="K38" s="743"/>
      <c r="L38" s="424"/>
      <c r="M38" s="38"/>
      <c r="N38" s="38"/>
      <c r="O38" s="38"/>
      <c r="P38" s="38"/>
      <c r="Q38" s="38"/>
      <c r="R38" s="38"/>
      <c r="S38" s="38"/>
      <c r="T38" s="38"/>
      <c r="U38" s="38"/>
      <c r="V38" s="38"/>
      <c r="W38" s="38"/>
    </row>
    <row r="39" spans="1:23" ht="11.25" customHeight="1" x14ac:dyDescent="0.25">
      <c r="A39" s="466" t="str">
        <f>'Org structure'!A5</f>
        <v>Vote 4 - Corporate Services</v>
      </c>
      <c r="B39" s="440"/>
      <c r="C39" s="503">
        <f t="shared" ref="C39:K39" si="7">SUM(C40:C49)</f>
        <v>0</v>
      </c>
      <c r="D39" s="444">
        <f t="shared" si="7"/>
        <v>19239180.686499998</v>
      </c>
      <c r="E39" s="441">
        <f t="shared" si="7"/>
        <v>19239180.686499998</v>
      </c>
      <c r="F39" s="443">
        <f t="shared" si="7"/>
        <v>1128943.8600000001</v>
      </c>
      <c r="G39" s="441">
        <f t="shared" si="7"/>
        <v>1525431.1800000002</v>
      </c>
      <c r="H39" s="443">
        <f t="shared" si="7"/>
        <v>9619590.343249999</v>
      </c>
      <c r="I39" s="44">
        <f t="shared" si="1"/>
        <v>-8094159.1632499993</v>
      </c>
      <c r="J39" s="330">
        <f t="shared" si="2"/>
        <v>-0.84142451751384773</v>
      </c>
      <c r="K39" s="442">
        <f t="shared" si="7"/>
        <v>19239180.686499998</v>
      </c>
      <c r="L39" s="424"/>
      <c r="M39" s="38"/>
      <c r="N39" s="38"/>
      <c r="O39" s="38"/>
      <c r="P39" s="38"/>
      <c r="Q39" s="38"/>
      <c r="R39" s="38"/>
      <c r="S39" s="38"/>
      <c r="T39" s="38"/>
      <c r="U39" s="38"/>
      <c r="V39" s="38"/>
      <c r="W39" s="38"/>
    </row>
    <row r="40" spans="1:23" ht="11.25" customHeight="1" x14ac:dyDescent="0.25">
      <c r="A40" s="407" t="str">
        <f>'Org structure'!E36</f>
        <v>4.1 - Human Resources Management</v>
      </c>
      <c r="B40" s="445"/>
      <c r="C40" s="739"/>
      <c r="D40" s="740">
        <v>18980058.640900001</v>
      </c>
      <c r="E40" s="741">
        <v>18980058.640900001</v>
      </c>
      <c r="F40" s="742"/>
      <c r="G40" s="741">
        <v>396429.06</v>
      </c>
      <c r="H40" s="742">
        <f t="shared" ref="H40:H42" si="8">E40/12*6</f>
        <v>9490029.3204500005</v>
      </c>
      <c r="I40" s="44">
        <f t="shared" si="1"/>
        <v>-9093600.2604499999</v>
      </c>
      <c r="J40" s="330">
        <f t="shared" si="2"/>
        <v>-0.95822678238245917</v>
      </c>
      <c r="K40" s="743">
        <f t="shared" ref="K40:K42" si="9">E40</f>
        <v>18980058.640900001</v>
      </c>
      <c r="L40" s="424"/>
      <c r="M40" s="38"/>
      <c r="N40" s="38"/>
      <c r="O40" s="38"/>
      <c r="P40" s="38"/>
      <c r="Q40" s="38"/>
      <c r="R40" s="38"/>
      <c r="S40" s="38"/>
      <c r="T40" s="38"/>
      <c r="U40" s="38"/>
      <c r="V40" s="38"/>
      <c r="W40" s="38"/>
    </row>
    <row r="41" spans="1:23" ht="11.25" customHeight="1" x14ac:dyDescent="0.25">
      <c r="A41" s="407" t="str">
        <f>'Org structure'!E37</f>
        <v>4.2 - Information Technology</v>
      </c>
      <c r="B41" s="445"/>
      <c r="C41" s="739"/>
      <c r="D41" s="740">
        <v>2016.0139999999999</v>
      </c>
      <c r="E41" s="741">
        <v>2016.0139999999999</v>
      </c>
      <c r="F41" s="742">
        <v>58.26</v>
      </c>
      <c r="G41" s="741">
        <v>116.52</v>
      </c>
      <c r="H41" s="742">
        <f t="shared" si="8"/>
        <v>1008.0069999999998</v>
      </c>
      <c r="I41" s="44">
        <f t="shared" si="1"/>
        <v>-891.48699999999985</v>
      </c>
      <c r="J41" s="330">
        <f t="shared" si="2"/>
        <v>-0.8844055646438963</v>
      </c>
      <c r="K41" s="743">
        <f t="shared" si="9"/>
        <v>2016.0139999999999</v>
      </c>
      <c r="L41" s="424"/>
      <c r="M41" s="38"/>
      <c r="N41" s="38"/>
      <c r="O41" s="38"/>
      <c r="P41" s="38"/>
      <c r="Q41" s="38"/>
      <c r="R41" s="38"/>
      <c r="S41" s="38"/>
      <c r="T41" s="38"/>
      <c r="U41" s="38"/>
      <c r="V41" s="38"/>
      <c r="W41" s="38"/>
    </row>
    <row r="42" spans="1:23" ht="11.25" customHeight="1" x14ac:dyDescent="0.25">
      <c r="A42" s="407" t="str">
        <f>'Org structure'!E38</f>
        <v>4.3 - Legal Services</v>
      </c>
      <c r="B42" s="445"/>
      <c r="C42" s="739"/>
      <c r="D42" s="740">
        <v>257106.03159999999</v>
      </c>
      <c r="E42" s="741">
        <v>257106.03159999999</v>
      </c>
      <c r="F42" s="742"/>
      <c r="G42" s="741"/>
      <c r="H42" s="742">
        <f t="shared" si="8"/>
        <v>128553.01579999999</v>
      </c>
      <c r="I42" s="44">
        <f t="shared" si="1"/>
        <v>-128553.01579999999</v>
      </c>
      <c r="J42" s="330">
        <f t="shared" si="2"/>
        <v>-1</v>
      </c>
      <c r="K42" s="743">
        <f t="shared" si="9"/>
        <v>257106.03159999999</v>
      </c>
      <c r="L42" s="424"/>
      <c r="M42" s="38"/>
      <c r="N42" s="38"/>
      <c r="O42" s="38"/>
      <c r="P42" s="38"/>
      <c r="Q42" s="38"/>
      <c r="R42" s="38"/>
      <c r="S42" s="38"/>
      <c r="T42" s="38"/>
      <c r="U42" s="38"/>
      <c r="V42" s="38"/>
      <c r="W42" s="38"/>
    </row>
    <row r="43" spans="1:23" ht="11.25" customHeight="1" x14ac:dyDescent="0.25">
      <c r="A43" s="407" t="str">
        <f>'Org structure'!E39</f>
        <v>4.4 - Secretariat and Auxiliary Services</v>
      </c>
      <c r="B43" s="445"/>
      <c r="C43" s="739"/>
      <c r="D43" s="740"/>
      <c r="E43" s="741"/>
      <c r="F43" s="742"/>
      <c r="G43" s="741"/>
      <c r="H43" s="742"/>
      <c r="I43" s="44">
        <f t="shared" si="1"/>
        <v>0</v>
      </c>
      <c r="J43" s="330" t="str">
        <f t="shared" si="2"/>
        <v/>
      </c>
      <c r="K43" s="743"/>
      <c r="L43" s="424"/>
      <c r="M43" s="38"/>
      <c r="N43" s="38"/>
      <c r="O43" s="38"/>
      <c r="P43" s="38"/>
      <c r="Q43" s="38"/>
      <c r="R43" s="38"/>
      <c r="S43" s="38"/>
      <c r="T43" s="38"/>
      <c r="U43" s="38"/>
      <c r="V43" s="38"/>
      <c r="W43" s="38"/>
    </row>
    <row r="44" spans="1:23" ht="11.25" customHeight="1" x14ac:dyDescent="0.25">
      <c r="A44" s="407" t="str">
        <f>'Org structure'!E40</f>
        <v>4.5 - General Manager: Corporate Service</v>
      </c>
      <c r="B44" s="445"/>
      <c r="C44" s="739"/>
      <c r="D44" s="740"/>
      <c r="E44" s="741"/>
      <c r="F44" s="742">
        <v>1128885.6000000001</v>
      </c>
      <c r="G44" s="741">
        <v>1128885.6000000001</v>
      </c>
      <c r="H44" s="742"/>
      <c r="I44" s="44">
        <f t="shared" si="1"/>
        <v>1128885.6000000001</v>
      </c>
      <c r="J44" s="330" t="e">
        <f t="shared" si="2"/>
        <v>#DIV/0!</v>
      </c>
      <c r="K44" s="743"/>
      <c r="L44" s="424"/>
      <c r="M44" s="38"/>
      <c r="N44" s="38"/>
      <c r="O44" s="38"/>
      <c r="P44" s="38"/>
      <c r="Q44" s="38"/>
      <c r="R44" s="38"/>
      <c r="S44" s="38"/>
      <c r="T44" s="38"/>
      <c r="U44" s="38"/>
      <c r="V44" s="38"/>
      <c r="W44" s="38"/>
    </row>
    <row r="45" spans="1:23" ht="11.25" hidden="1" customHeight="1" x14ac:dyDescent="0.25">
      <c r="A45" s="407">
        <f>'Org structure'!E41</f>
        <v>0</v>
      </c>
      <c r="B45" s="445"/>
      <c r="C45" s="739"/>
      <c r="D45" s="740"/>
      <c r="E45" s="741"/>
      <c r="F45" s="742"/>
      <c r="G45" s="741"/>
      <c r="H45" s="742"/>
      <c r="I45" s="44">
        <f t="shared" si="1"/>
        <v>0</v>
      </c>
      <c r="J45" s="330" t="str">
        <f t="shared" si="2"/>
        <v/>
      </c>
      <c r="K45" s="743"/>
      <c r="L45" s="424"/>
      <c r="M45" s="38"/>
      <c r="N45" s="38"/>
      <c r="O45" s="38"/>
      <c r="P45" s="38"/>
      <c r="Q45" s="38"/>
      <c r="R45" s="38"/>
      <c r="S45" s="38"/>
      <c r="T45" s="38"/>
      <c r="U45" s="38"/>
      <c r="V45" s="38"/>
      <c r="W45" s="38"/>
    </row>
    <row r="46" spans="1:23" ht="11.25" hidden="1" customHeight="1" x14ac:dyDescent="0.25">
      <c r="A46" s="407">
        <f>'Org structure'!E42</f>
        <v>0</v>
      </c>
      <c r="B46" s="445"/>
      <c r="C46" s="739"/>
      <c r="D46" s="740"/>
      <c r="E46" s="741"/>
      <c r="F46" s="742"/>
      <c r="G46" s="741"/>
      <c r="H46" s="742"/>
      <c r="I46" s="44">
        <f t="shared" si="1"/>
        <v>0</v>
      </c>
      <c r="J46" s="330" t="str">
        <f t="shared" si="2"/>
        <v/>
      </c>
      <c r="K46" s="743"/>
      <c r="L46" s="424"/>
      <c r="M46" s="38"/>
      <c r="N46" s="38"/>
      <c r="O46" s="38"/>
      <c r="P46" s="38"/>
      <c r="Q46" s="38"/>
      <c r="R46" s="38"/>
      <c r="S46" s="38"/>
      <c r="T46" s="38"/>
      <c r="U46" s="38"/>
      <c r="V46" s="38"/>
      <c r="W46" s="38"/>
    </row>
    <row r="47" spans="1:23" ht="11.25" hidden="1" customHeight="1" x14ac:dyDescent="0.25">
      <c r="A47" s="407">
        <f>'Org structure'!E43</f>
        <v>0</v>
      </c>
      <c r="B47" s="445"/>
      <c r="C47" s="739"/>
      <c r="D47" s="740"/>
      <c r="E47" s="741"/>
      <c r="F47" s="742"/>
      <c r="G47" s="741"/>
      <c r="H47" s="742"/>
      <c r="I47" s="44">
        <f t="shared" si="1"/>
        <v>0</v>
      </c>
      <c r="J47" s="330" t="str">
        <f t="shared" si="2"/>
        <v/>
      </c>
      <c r="K47" s="743"/>
      <c r="L47" s="424"/>
      <c r="M47" s="38"/>
      <c r="N47" s="38"/>
      <c r="O47" s="38"/>
      <c r="P47" s="38"/>
      <c r="Q47" s="38"/>
      <c r="R47" s="38"/>
      <c r="S47" s="38"/>
      <c r="T47" s="38"/>
      <c r="U47" s="38"/>
      <c r="V47" s="38"/>
      <c r="W47" s="38"/>
    </row>
    <row r="48" spans="1:23" ht="11.25" hidden="1" customHeight="1" x14ac:dyDescent="0.25">
      <c r="A48" s="407">
        <f>'Org structure'!E44</f>
        <v>0</v>
      </c>
      <c r="B48" s="445"/>
      <c r="C48" s="739"/>
      <c r="D48" s="740"/>
      <c r="E48" s="741"/>
      <c r="F48" s="742"/>
      <c r="G48" s="741"/>
      <c r="H48" s="742"/>
      <c r="I48" s="44">
        <f t="shared" si="1"/>
        <v>0</v>
      </c>
      <c r="J48" s="330" t="str">
        <f t="shared" si="2"/>
        <v/>
      </c>
      <c r="K48" s="743"/>
      <c r="L48" s="424"/>
      <c r="M48" s="38"/>
      <c r="N48" s="38"/>
      <c r="O48" s="38"/>
      <c r="P48" s="38"/>
      <c r="Q48" s="38"/>
      <c r="R48" s="38"/>
      <c r="S48" s="38"/>
      <c r="T48" s="38"/>
      <c r="U48" s="38"/>
      <c r="V48" s="38"/>
      <c r="W48" s="38"/>
    </row>
    <row r="49" spans="1:23" ht="11.25" hidden="1" customHeight="1" x14ac:dyDescent="0.25">
      <c r="A49" s="407">
        <f>'Org structure'!E45</f>
        <v>0</v>
      </c>
      <c r="B49" s="445"/>
      <c r="C49" s="739"/>
      <c r="D49" s="740"/>
      <c r="E49" s="741"/>
      <c r="F49" s="742"/>
      <c r="G49" s="741"/>
      <c r="H49" s="742"/>
      <c r="I49" s="44">
        <f t="shared" si="1"/>
        <v>0</v>
      </c>
      <c r="J49" s="330" t="str">
        <f t="shared" si="2"/>
        <v/>
      </c>
      <c r="K49" s="743"/>
      <c r="L49" s="424"/>
      <c r="M49" s="38"/>
      <c r="N49" s="38"/>
      <c r="O49" s="38"/>
      <c r="P49" s="38"/>
      <c r="Q49" s="38"/>
      <c r="R49" s="38"/>
      <c r="S49" s="38"/>
      <c r="T49" s="38"/>
      <c r="U49" s="38"/>
      <c r="V49" s="38"/>
      <c r="W49" s="38"/>
    </row>
    <row r="50" spans="1:23" ht="11.25" customHeight="1" x14ac:dyDescent="0.25">
      <c r="A50" s="466" t="str">
        <f>'Org structure'!A6</f>
        <v>Vote 5 - Infrastructure Services</v>
      </c>
      <c r="B50" s="440"/>
      <c r="C50" s="503">
        <f>SUM(C51:C60)</f>
        <v>0</v>
      </c>
      <c r="D50" s="444">
        <f t="shared" ref="D50:K50" si="10">SUM(D51:D60)</f>
        <v>3376346372.7014918</v>
      </c>
      <c r="E50" s="441">
        <f t="shared" si="10"/>
        <v>3376346372.7014918</v>
      </c>
      <c r="F50" s="443">
        <f t="shared" si="10"/>
        <v>438761442.25999999</v>
      </c>
      <c r="G50" s="441">
        <f t="shared" si="10"/>
        <v>2155712458.9900002</v>
      </c>
      <c r="H50" s="443">
        <f t="shared" si="10"/>
        <v>1688173186.3507459</v>
      </c>
      <c r="I50" s="44">
        <f t="shared" si="1"/>
        <v>467539272.63925433</v>
      </c>
      <c r="J50" s="330">
        <f t="shared" si="2"/>
        <v>0.27694982743442015</v>
      </c>
      <c r="K50" s="442">
        <f t="shared" si="10"/>
        <v>3376346372.7014918</v>
      </c>
      <c r="L50" s="424"/>
      <c r="M50" s="38"/>
      <c r="N50" s="38"/>
      <c r="O50" s="38"/>
      <c r="P50" s="38"/>
      <c r="Q50" s="38"/>
      <c r="R50" s="38"/>
      <c r="S50" s="38"/>
      <c r="T50" s="38"/>
      <c r="U50" s="38"/>
      <c r="V50" s="38"/>
      <c r="W50" s="38"/>
    </row>
    <row r="51" spans="1:23" ht="11.25" customHeight="1" x14ac:dyDescent="0.25">
      <c r="A51" s="407" t="str">
        <f>'Org structure'!E47</f>
        <v>5.1 - Electricity</v>
      </c>
      <c r="B51" s="445"/>
      <c r="C51" s="739"/>
      <c r="D51" s="740">
        <v>1787507107.4868703</v>
      </c>
      <c r="E51" s="741">
        <v>1787507107.4868703</v>
      </c>
      <c r="F51" s="742">
        <v>194450724.5</v>
      </c>
      <c r="G51" s="741">
        <v>1218546930.72</v>
      </c>
      <c r="H51" s="742">
        <f t="shared" ref="H51:H54" si="11">E51/12*6</f>
        <v>893753553.74343514</v>
      </c>
      <c r="I51" s="44">
        <f t="shared" si="1"/>
        <v>324793376.97656488</v>
      </c>
      <c r="J51" s="330">
        <f t="shared" si="2"/>
        <v>0.36340373206482546</v>
      </c>
      <c r="K51" s="743">
        <f t="shared" ref="K51:K54" si="12">E51</f>
        <v>1787507107.4868703</v>
      </c>
      <c r="L51" s="424"/>
      <c r="M51" s="38"/>
      <c r="N51" s="38"/>
      <c r="O51" s="38"/>
      <c r="P51" s="38"/>
      <c r="Q51" s="38"/>
      <c r="R51" s="38"/>
      <c r="S51" s="38"/>
      <c r="T51" s="38"/>
      <c r="U51" s="38"/>
      <c r="V51" s="38"/>
      <c r="W51" s="38"/>
    </row>
    <row r="52" spans="1:23" ht="11.25" customHeight="1" x14ac:dyDescent="0.25">
      <c r="A52" s="407" t="str">
        <f>'Org structure'!E48</f>
        <v>5.2 - Project Management Office</v>
      </c>
      <c r="B52" s="445"/>
      <c r="C52" s="739"/>
      <c r="D52" s="740">
        <v>19637703.2643</v>
      </c>
      <c r="E52" s="741">
        <v>19637703.2643</v>
      </c>
      <c r="F52" s="742">
        <v>377534.75</v>
      </c>
      <c r="G52" s="741">
        <v>3768697.22</v>
      </c>
      <c r="H52" s="742">
        <f t="shared" si="11"/>
        <v>9818851.63215</v>
      </c>
      <c r="I52" s="44">
        <f t="shared" si="1"/>
        <v>-6050154.4121499993</v>
      </c>
      <c r="J52" s="330">
        <f t="shared" si="2"/>
        <v>-0.61617739414046102</v>
      </c>
      <c r="K52" s="743">
        <f t="shared" si="12"/>
        <v>19637703.2643</v>
      </c>
      <c r="L52" s="424"/>
      <c r="M52" s="38"/>
      <c r="N52" s="38"/>
      <c r="O52" s="38"/>
      <c r="P52" s="38"/>
      <c r="Q52" s="38"/>
      <c r="R52" s="38"/>
      <c r="S52" s="38"/>
      <c r="T52" s="38"/>
      <c r="U52" s="38"/>
      <c r="V52" s="38"/>
      <c r="W52" s="38"/>
    </row>
    <row r="53" spans="1:23" ht="11.25" customHeight="1" x14ac:dyDescent="0.25">
      <c r="A53" s="407" t="str">
        <f>'Org structure'!E49</f>
        <v>5.3 - Roads and Transportation</v>
      </c>
      <c r="B53" s="445"/>
      <c r="C53" s="739"/>
      <c r="D53" s="740">
        <v>65792799.755315199</v>
      </c>
      <c r="E53" s="741">
        <v>65792799.755315199</v>
      </c>
      <c r="F53" s="742">
        <v>38710313.68</v>
      </c>
      <c r="G53" s="741">
        <v>121030634.70999999</v>
      </c>
      <c r="H53" s="742">
        <f t="shared" si="11"/>
        <v>32896399.8776576</v>
      </c>
      <c r="I53" s="44">
        <f t="shared" si="1"/>
        <v>88134234.832342386</v>
      </c>
      <c r="J53" s="330">
        <f t="shared" si="2"/>
        <v>2.6791452912815825</v>
      </c>
      <c r="K53" s="743">
        <f t="shared" si="12"/>
        <v>65792799.755315199</v>
      </c>
      <c r="L53" s="424"/>
      <c r="M53" s="38"/>
      <c r="N53" s="38"/>
      <c r="O53" s="38"/>
      <c r="P53" s="38"/>
      <c r="Q53" s="38"/>
      <c r="R53" s="38"/>
      <c r="S53" s="38"/>
      <c r="T53" s="38"/>
      <c r="U53" s="38"/>
      <c r="V53" s="38"/>
      <c r="W53" s="38"/>
    </row>
    <row r="54" spans="1:23" ht="11.25" customHeight="1" x14ac:dyDescent="0.25">
      <c r="A54" s="407" t="str">
        <f>'Org structure'!E50</f>
        <v>5.4 - Water and Sanitation</v>
      </c>
      <c r="B54" s="445"/>
      <c r="C54" s="739"/>
      <c r="D54" s="740">
        <v>1503408762.1950061</v>
      </c>
      <c r="E54" s="741">
        <v>1503408762.1950061</v>
      </c>
      <c r="F54" s="742">
        <v>205222869.33000001</v>
      </c>
      <c r="G54" s="741">
        <v>812366196.34000003</v>
      </c>
      <c r="H54" s="742">
        <f t="shared" si="11"/>
        <v>751704381.09750307</v>
      </c>
      <c r="I54" s="44">
        <f t="shared" si="1"/>
        <v>60661815.242496967</v>
      </c>
      <c r="J54" s="330">
        <f t="shared" si="2"/>
        <v>8.0699031119027848E-2</v>
      </c>
      <c r="K54" s="743">
        <f t="shared" si="12"/>
        <v>1503408762.1950061</v>
      </c>
      <c r="L54" s="424"/>
      <c r="M54" s="38"/>
      <c r="N54" s="38"/>
      <c r="O54" s="38"/>
      <c r="P54" s="38"/>
      <c r="Q54" s="38"/>
      <c r="R54" s="38"/>
      <c r="S54" s="38"/>
      <c r="T54" s="38"/>
      <c r="U54" s="38"/>
      <c r="V54" s="38"/>
      <c r="W54" s="38"/>
    </row>
    <row r="55" spans="1:23" ht="11.25" customHeight="1" x14ac:dyDescent="0.25">
      <c r="A55" s="407" t="str">
        <f>'Org structure'!E51</f>
        <v xml:space="preserve">5.5 - General Manager: Infrastructure </v>
      </c>
      <c r="B55" s="445"/>
      <c r="C55" s="739"/>
      <c r="D55" s="740"/>
      <c r="E55" s="741"/>
      <c r="F55" s="742"/>
      <c r="G55" s="741"/>
      <c r="H55" s="742"/>
      <c r="I55" s="44">
        <f t="shared" si="1"/>
        <v>0</v>
      </c>
      <c r="J55" s="330" t="str">
        <f t="shared" si="2"/>
        <v/>
      </c>
      <c r="K55" s="743"/>
      <c r="L55" s="424"/>
      <c r="M55" s="38"/>
      <c r="N55" s="38"/>
      <c r="O55" s="38"/>
      <c r="P55" s="38"/>
      <c r="Q55" s="38"/>
      <c r="R55" s="38"/>
      <c r="S55" s="38"/>
      <c r="T55" s="38"/>
      <c r="U55" s="38"/>
      <c r="V55" s="38"/>
      <c r="W55" s="38"/>
    </row>
    <row r="56" spans="1:23" ht="11.25" hidden="1" customHeight="1" x14ac:dyDescent="0.25">
      <c r="A56" s="407">
        <f>'Org structure'!E52</f>
        <v>0</v>
      </c>
      <c r="B56" s="445"/>
      <c r="C56" s="739"/>
      <c r="D56" s="740"/>
      <c r="E56" s="741"/>
      <c r="F56" s="742"/>
      <c r="G56" s="741"/>
      <c r="H56" s="742"/>
      <c r="I56" s="44">
        <f t="shared" si="1"/>
        <v>0</v>
      </c>
      <c r="J56" s="330" t="str">
        <f t="shared" si="2"/>
        <v/>
      </c>
      <c r="K56" s="743"/>
      <c r="L56" s="424"/>
      <c r="M56" s="38"/>
      <c r="N56" s="38"/>
      <c r="O56" s="38"/>
      <c r="P56" s="38"/>
      <c r="Q56" s="38"/>
      <c r="R56" s="38"/>
      <c r="S56" s="38"/>
      <c r="T56" s="38"/>
      <c r="U56" s="38"/>
      <c r="V56" s="38"/>
      <c r="W56" s="38"/>
    </row>
    <row r="57" spans="1:23" ht="11.25" hidden="1" customHeight="1" x14ac:dyDescent="0.25">
      <c r="A57" s="407">
        <f>'Org structure'!E53</f>
        <v>0</v>
      </c>
      <c r="B57" s="445"/>
      <c r="C57" s="739"/>
      <c r="D57" s="740"/>
      <c r="E57" s="741"/>
      <c r="F57" s="742"/>
      <c r="G57" s="741"/>
      <c r="H57" s="742"/>
      <c r="I57" s="44">
        <f t="shared" si="1"/>
        <v>0</v>
      </c>
      <c r="J57" s="330" t="str">
        <f t="shared" si="2"/>
        <v/>
      </c>
      <c r="K57" s="743"/>
      <c r="L57" s="424"/>
      <c r="M57" s="38"/>
      <c r="N57" s="38"/>
      <c r="O57" s="38"/>
      <c r="P57" s="38"/>
      <c r="Q57" s="38"/>
      <c r="R57" s="38"/>
      <c r="S57" s="38"/>
      <c r="T57" s="38"/>
      <c r="U57" s="38"/>
      <c r="V57" s="38"/>
      <c r="W57" s="38"/>
    </row>
    <row r="58" spans="1:23" ht="11.25" hidden="1" customHeight="1" x14ac:dyDescent="0.25">
      <c r="A58" s="407">
        <f>'Org structure'!E54</f>
        <v>0</v>
      </c>
      <c r="B58" s="445"/>
      <c r="C58" s="739"/>
      <c r="D58" s="740"/>
      <c r="E58" s="741"/>
      <c r="F58" s="742"/>
      <c r="G58" s="741"/>
      <c r="H58" s="742"/>
      <c r="I58" s="44">
        <f t="shared" si="1"/>
        <v>0</v>
      </c>
      <c r="J58" s="330" t="str">
        <f t="shared" si="2"/>
        <v/>
      </c>
      <c r="K58" s="743"/>
      <c r="L58" s="424"/>
      <c r="M58" s="38"/>
      <c r="N58" s="38"/>
      <c r="O58" s="38"/>
      <c r="P58" s="38"/>
      <c r="Q58" s="38"/>
      <c r="R58" s="38"/>
      <c r="S58" s="38"/>
      <c r="T58" s="38"/>
      <c r="U58" s="38"/>
      <c r="V58" s="38"/>
      <c r="W58" s="38"/>
    </row>
    <row r="59" spans="1:23" ht="11.25" hidden="1" customHeight="1" x14ac:dyDescent="0.25">
      <c r="A59" s="407">
        <f>'Org structure'!E55</f>
        <v>0</v>
      </c>
      <c r="B59" s="445"/>
      <c r="C59" s="739"/>
      <c r="D59" s="740"/>
      <c r="E59" s="741"/>
      <c r="F59" s="742"/>
      <c r="G59" s="741"/>
      <c r="H59" s="742"/>
      <c r="I59" s="44">
        <f t="shared" si="1"/>
        <v>0</v>
      </c>
      <c r="J59" s="330" t="str">
        <f t="shared" si="2"/>
        <v/>
      </c>
      <c r="K59" s="743"/>
      <c r="L59" s="424"/>
      <c r="M59" s="38"/>
      <c r="N59" s="38"/>
      <c r="O59" s="38"/>
      <c r="P59" s="38"/>
      <c r="Q59" s="38"/>
      <c r="R59" s="38"/>
      <c r="S59" s="38"/>
      <c r="T59" s="38"/>
      <c r="U59" s="38"/>
      <c r="V59" s="38"/>
      <c r="W59" s="38"/>
    </row>
    <row r="60" spans="1:23" ht="11.25" hidden="1" customHeight="1" x14ac:dyDescent="0.25">
      <c r="A60" s="407">
        <f>'Org structure'!E56</f>
        <v>0</v>
      </c>
      <c r="B60" s="445"/>
      <c r="C60" s="739"/>
      <c r="D60" s="740"/>
      <c r="E60" s="741"/>
      <c r="F60" s="742"/>
      <c r="G60" s="741"/>
      <c r="H60" s="742"/>
      <c r="I60" s="44">
        <f t="shared" si="1"/>
        <v>0</v>
      </c>
      <c r="J60" s="330" t="str">
        <f t="shared" si="2"/>
        <v/>
      </c>
      <c r="K60" s="743"/>
      <c r="L60" s="424"/>
      <c r="M60" s="38"/>
      <c r="N60" s="38"/>
      <c r="O60" s="38"/>
      <c r="P60" s="38"/>
      <c r="Q60" s="38"/>
      <c r="R60" s="38"/>
      <c r="S60" s="38"/>
      <c r="T60" s="38"/>
      <c r="U60" s="38"/>
      <c r="V60" s="38"/>
      <c r="W60" s="38"/>
    </row>
    <row r="61" spans="1:23" ht="11.25" customHeight="1" x14ac:dyDescent="0.25">
      <c r="A61" s="466" t="str">
        <f>'Org structure'!A7</f>
        <v>Vote 6 - Sustainable Development and City Enterprises</v>
      </c>
      <c r="B61" s="440"/>
      <c r="C61" s="503">
        <f>SUM(C62:C71)</f>
        <v>0</v>
      </c>
      <c r="D61" s="444">
        <f t="shared" ref="D61:K61" si="13">SUM(D62:D71)</f>
        <v>432870465.38774735</v>
      </c>
      <c r="E61" s="441">
        <f t="shared" si="13"/>
        <v>432870465.38774735</v>
      </c>
      <c r="F61" s="443">
        <f t="shared" si="13"/>
        <v>14156961.539999999</v>
      </c>
      <c r="G61" s="441">
        <f t="shared" si="13"/>
        <v>75419583.409999996</v>
      </c>
      <c r="H61" s="443">
        <f t="shared" si="13"/>
        <v>216435232.69387367</v>
      </c>
      <c r="I61" s="44">
        <f t="shared" si="1"/>
        <v>-141015649.28387368</v>
      </c>
      <c r="J61" s="330">
        <f t="shared" si="2"/>
        <v>-0.65153740233840041</v>
      </c>
      <c r="K61" s="442">
        <f t="shared" si="13"/>
        <v>432870465.38774735</v>
      </c>
      <c r="L61" s="424"/>
      <c r="M61" s="38"/>
      <c r="N61" s="38"/>
      <c r="O61" s="38"/>
      <c r="P61" s="38"/>
      <c r="Q61" s="38"/>
      <c r="R61" s="38"/>
      <c r="S61" s="38"/>
      <c r="T61" s="38"/>
      <c r="U61" s="38"/>
      <c r="V61" s="38"/>
      <c r="W61" s="38"/>
    </row>
    <row r="62" spans="1:23" ht="11.25" customHeight="1" x14ac:dyDescent="0.25">
      <c r="A62" s="407" t="str">
        <f>'Org structure'!E58</f>
        <v>6.1 - City Entities</v>
      </c>
      <c r="B62" s="445"/>
      <c r="C62" s="739"/>
      <c r="D62" s="740"/>
      <c r="E62" s="741"/>
      <c r="F62" s="742">
        <v>4913071.21</v>
      </c>
      <c r="G62" s="741">
        <v>19883466.57</v>
      </c>
      <c r="H62" s="742"/>
      <c r="I62" s="44">
        <f t="shared" si="1"/>
        <v>19883466.57</v>
      </c>
      <c r="J62" s="330" t="e">
        <f t="shared" si="2"/>
        <v>#DIV/0!</v>
      </c>
      <c r="K62" s="743"/>
      <c r="L62" s="424"/>
      <c r="M62" s="38"/>
      <c r="N62" s="38"/>
      <c r="O62" s="38"/>
      <c r="P62" s="38"/>
      <c r="Q62" s="38"/>
      <c r="R62" s="38"/>
      <c r="S62" s="38"/>
      <c r="T62" s="38"/>
      <c r="U62" s="38"/>
      <c r="V62" s="38"/>
      <c r="W62" s="38"/>
    </row>
    <row r="63" spans="1:23" ht="11.25" customHeight="1" x14ac:dyDescent="0.25">
      <c r="A63" s="407" t="str">
        <f>'Org structure'!E59</f>
        <v>6.2 - Development Services</v>
      </c>
      <c r="B63" s="445"/>
      <c r="C63" s="739"/>
      <c r="D63" s="740">
        <v>41022287.158399999</v>
      </c>
      <c r="E63" s="741">
        <v>41022287.158399999</v>
      </c>
      <c r="F63" s="742">
        <v>15629.16</v>
      </c>
      <c r="G63" s="741">
        <v>91511</v>
      </c>
      <c r="H63" s="742">
        <f t="shared" ref="H63:H65" si="14">E63/12*6</f>
        <v>20511143.5792</v>
      </c>
      <c r="I63" s="44">
        <f t="shared" si="1"/>
        <v>-20419632.5792</v>
      </c>
      <c r="J63" s="330">
        <f t="shared" si="2"/>
        <v>-0.9955384740179577</v>
      </c>
      <c r="K63" s="743">
        <f t="shared" ref="K63:K65" si="15">E63</f>
        <v>41022287.158399999</v>
      </c>
      <c r="L63" s="424"/>
      <c r="M63" s="38"/>
      <c r="N63" s="38"/>
      <c r="O63" s="38"/>
      <c r="P63" s="38"/>
      <c r="Q63" s="38"/>
      <c r="R63" s="38"/>
      <c r="S63" s="38"/>
      <c r="T63" s="38"/>
      <c r="U63" s="38"/>
      <c r="V63" s="38"/>
      <c r="W63" s="38"/>
    </row>
    <row r="64" spans="1:23" ht="11.25" customHeight="1" x14ac:dyDescent="0.25">
      <c r="A64" s="407" t="str">
        <f>'Org structure'!E60</f>
        <v>6.3 - Human Settlement Development</v>
      </c>
      <c r="B64" s="445"/>
      <c r="C64" s="739"/>
      <c r="D64" s="740">
        <v>328237277.54334736</v>
      </c>
      <c r="E64" s="741">
        <v>328237277.54334736</v>
      </c>
      <c r="F64" s="742">
        <v>8350352.6500000004</v>
      </c>
      <c r="G64" s="741">
        <v>54791980.479999997</v>
      </c>
      <c r="H64" s="742">
        <f t="shared" si="14"/>
        <v>164118638.77167368</v>
      </c>
      <c r="I64" s="44">
        <f t="shared" si="1"/>
        <v>-109326658.29167369</v>
      </c>
      <c r="J64" s="330">
        <f t="shared" si="2"/>
        <v>-0.66614407181241564</v>
      </c>
      <c r="K64" s="743">
        <f t="shared" si="15"/>
        <v>328237277.54334736</v>
      </c>
      <c r="L64" s="424"/>
      <c r="M64" s="38"/>
      <c r="N64" s="38"/>
      <c r="O64" s="38"/>
      <c r="P64" s="38"/>
      <c r="Q64" s="38"/>
      <c r="R64" s="38"/>
      <c r="S64" s="38"/>
      <c r="T64" s="38"/>
      <c r="U64" s="38"/>
      <c r="V64" s="38"/>
      <c r="W64" s="38"/>
    </row>
    <row r="65" spans="1:23" ht="11.25" customHeight="1" x14ac:dyDescent="0.25">
      <c r="A65" s="407" t="str">
        <f>'Org structure'!E61</f>
        <v>6.4 - Town Planning</v>
      </c>
      <c r="B65" s="445"/>
      <c r="C65" s="739"/>
      <c r="D65" s="740">
        <v>63610900.686000004</v>
      </c>
      <c r="E65" s="741">
        <v>63610900.686000004</v>
      </c>
      <c r="F65" s="742">
        <v>877908.52</v>
      </c>
      <c r="G65" s="741">
        <v>652625.36</v>
      </c>
      <c r="H65" s="742">
        <f t="shared" si="14"/>
        <v>31805450.343000002</v>
      </c>
      <c r="I65" s="44">
        <f t="shared" si="1"/>
        <v>-31152824.983000003</v>
      </c>
      <c r="J65" s="330">
        <f t="shared" si="2"/>
        <v>-0.9794807068297452</v>
      </c>
      <c r="K65" s="743">
        <f t="shared" si="15"/>
        <v>63610900.686000004</v>
      </c>
      <c r="L65" s="424"/>
      <c r="M65" s="38"/>
      <c r="N65" s="38"/>
      <c r="O65" s="38"/>
      <c r="P65" s="38"/>
      <c r="Q65" s="38"/>
      <c r="R65" s="38"/>
      <c r="S65" s="38"/>
      <c r="T65" s="38"/>
      <c r="U65" s="38"/>
      <c r="V65" s="38"/>
      <c r="W65" s="38"/>
    </row>
    <row r="66" spans="1:23" ht="11.25" customHeight="1" x14ac:dyDescent="0.25">
      <c r="A66" s="407" t="str">
        <f>'Org structure'!E62</f>
        <v>6.5 - General Manager: Sustainable Development and City Enterprises</v>
      </c>
      <c r="B66" s="445"/>
      <c r="C66" s="739"/>
      <c r="D66" s="740"/>
      <c r="E66" s="741"/>
      <c r="F66" s="742"/>
      <c r="G66" s="741"/>
      <c r="H66" s="742"/>
      <c r="I66" s="44">
        <f t="shared" si="1"/>
        <v>0</v>
      </c>
      <c r="J66" s="330" t="str">
        <f t="shared" si="2"/>
        <v/>
      </c>
      <c r="K66" s="743"/>
      <c r="L66" s="424"/>
      <c r="M66" s="38"/>
      <c r="N66" s="38"/>
      <c r="O66" s="38"/>
      <c r="P66" s="38"/>
      <c r="Q66" s="38"/>
      <c r="R66" s="38"/>
      <c r="S66" s="38"/>
      <c r="T66" s="38"/>
      <c r="U66" s="38"/>
      <c r="V66" s="38"/>
      <c r="W66" s="38"/>
    </row>
    <row r="67" spans="1:23" ht="11.25" hidden="1" customHeight="1" x14ac:dyDescent="0.25">
      <c r="A67" s="407">
        <f>'Org structure'!E63</f>
        <v>0</v>
      </c>
      <c r="B67" s="445"/>
      <c r="C67" s="739"/>
      <c r="D67" s="740"/>
      <c r="E67" s="741"/>
      <c r="F67" s="742"/>
      <c r="G67" s="741"/>
      <c r="H67" s="742"/>
      <c r="I67" s="44">
        <f t="shared" si="1"/>
        <v>0</v>
      </c>
      <c r="J67" s="330" t="str">
        <f t="shared" si="2"/>
        <v/>
      </c>
      <c r="K67" s="743"/>
      <c r="L67" s="424"/>
      <c r="M67" s="38"/>
      <c r="N67" s="38"/>
      <c r="O67" s="38"/>
      <c r="P67" s="38"/>
      <c r="Q67" s="38"/>
      <c r="R67" s="38"/>
      <c r="S67" s="38"/>
      <c r="T67" s="38"/>
      <c r="U67" s="38"/>
      <c r="V67" s="38"/>
      <c r="W67" s="38"/>
    </row>
    <row r="68" spans="1:23" ht="11.25" hidden="1" customHeight="1" x14ac:dyDescent="0.25">
      <c r="A68" s="407">
        <f>'Org structure'!E64</f>
        <v>0</v>
      </c>
      <c r="B68" s="445"/>
      <c r="C68" s="739"/>
      <c r="D68" s="740"/>
      <c r="E68" s="741"/>
      <c r="F68" s="742"/>
      <c r="G68" s="741"/>
      <c r="H68" s="742"/>
      <c r="I68" s="44">
        <f t="shared" si="1"/>
        <v>0</v>
      </c>
      <c r="J68" s="330" t="str">
        <f t="shared" si="2"/>
        <v/>
      </c>
      <c r="K68" s="743"/>
      <c r="L68" s="424"/>
      <c r="M68" s="38"/>
      <c r="N68" s="38"/>
      <c r="O68" s="38"/>
      <c r="P68" s="38"/>
      <c r="Q68" s="38"/>
      <c r="R68" s="38"/>
      <c r="S68" s="38"/>
      <c r="T68" s="38"/>
      <c r="U68" s="38"/>
      <c r="V68" s="38"/>
      <c r="W68" s="38"/>
    </row>
    <row r="69" spans="1:23" ht="11.25" hidden="1" customHeight="1" x14ac:dyDescent="0.25">
      <c r="A69" s="407">
        <f>'Org structure'!E65</f>
        <v>0</v>
      </c>
      <c r="B69" s="445"/>
      <c r="C69" s="739"/>
      <c r="D69" s="740"/>
      <c r="E69" s="741"/>
      <c r="F69" s="742"/>
      <c r="G69" s="741"/>
      <c r="H69" s="742"/>
      <c r="I69" s="44">
        <f t="shared" si="1"/>
        <v>0</v>
      </c>
      <c r="J69" s="330" t="str">
        <f t="shared" si="2"/>
        <v/>
      </c>
      <c r="K69" s="743"/>
      <c r="L69" s="424"/>
      <c r="M69" s="38"/>
      <c r="N69" s="38"/>
      <c r="O69" s="38"/>
      <c r="P69" s="38"/>
      <c r="Q69" s="38"/>
      <c r="R69" s="38"/>
      <c r="S69" s="38"/>
      <c r="T69" s="38"/>
      <c r="U69" s="38"/>
      <c r="V69" s="38"/>
      <c r="W69" s="38"/>
    </row>
    <row r="70" spans="1:23" ht="11.25" hidden="1" customHeight="1" x14ac:dyDescent="0.25">
      <c r="A70" s="407">
        <f>'Org structure'!E66</f>
        <v>0</v>
      </c>
      <c r="B70" s="445"/>
      <c r="C70" s="739"/>
      <c r="D70" s="740"/>
      <c r="E70" s="741"/>
      <c r="F70" s="742"/>
      <c r="G70" s="741"/>
      <c r="H70" s="742"/>
      <c r="I70" s="44">
        <f t="shared" ref="I70:I133" si="16">G70-H70</f>
        <v>0</v>
      </c>
      <c r="J70" s="330" t="str">
        <f t="shared" ref="J70:J133" si="17">IF(I70=0,"",I70/H70)</f>
        <v/>
      </c>
      <c r="K70" s="743"/>
      <c r="L70" s="424"/>
      <c r="M70" s="38"/>
      <c r="N70" s="38"/>
      <c r="O70" s="38"/>
      <c r="P70" s="38"/>
      <c r="Q70" s="38"/>
      <c r="R70" s="38"/>
      <c r="S70" s="38"/>
      <c r="T70" s="38"/>
      <c r="U70" s="38"/>
      <c r="V70" s="38"/>
      <c r="W70" s="38"/>
    </row>
    <row r="71" spans="1:23" ht="11.25" hidden="1" customHeight="1" x14ac:dyDescent="0.25">
      <c r="A71" s="407">
        <f>'Org structure'!E67</f>
        <v>0</v>
      </c>
      <c r="B71" s="445"/>
      <c r="C71" s="739"/>
      <c r="D71" s="740"/>
      <c r="E71" s="741"/>
      <c r="F71" s="742"/>
      <c r="G71" s="741"/>
      <c r="H71" s="742"/>
      <c r="I71" s="44">
        <f t="shared" si="16"/>
        <v>0</v>
      </c>
      <c r="J71" s="330" t="str">
        <f t="shared" si="17"/>
        <v/>
      </c>
      <c r="K71" s="743"/>
      <c r="L71" s="424"/>
      <c r="M71" s="38"/>
      <c r="N71" s="38"/>
      <c r="O71" s="38"/>
      <c r="P71" s="38"/>
      <c r="Q71" s="38"/>
      <c r="R71" s="38"/>
      <c r="S71" s="38"/>
      <c r="T71" s="38"/>
      <c r="U71" s="38"/>
      <c r="V71" s="38"/>
      <c r="W71" s="38"/>
    </row>
    <row r="72" spans="1:23" ht="11.25" hidden="1" customHeight="1" x14ac:dyDescent="0.25">
      <c r="A72" s="466" t="str">
        <f>'Org structure'!A8</f>
        <v>Vote 7 - [NAME OF VOTE 7]</v>
      </c>
      <c r="B72" s="440"/>
      <c r="C72" s="503">
        <f t="shared" ref="C72:K72" si="18">SUM(C73:C82)</f>
        <v>0</v>
      </c>
      <c r="D72" s="444">
        <f t="shared" si="18"/>
        <v>0</v>
      </c>
      <c r="E72" s="441">
        <f t="shared" si="18"/>
        <v>0</v>
      </c>
      <c r="F72" s="443">
        <f t="shared" si="18"/>
        <v>0</v>
      </c>
      <c r="G72" s="441">
        <f t="shared" si="18"/>
        <v>0</v>
      </c>
      <c r="H72" s="443">
        <f t="shared" si="18"/>
        <v>0</v>
      </c>
      <c r="I72" s="44">
        <f t="shared" si="16"/>
        <v>0</v>
      </c>
      <c r="J72" s="330" t="str">
        <f t="shared" si="17"/>
        <v/>
      </c>
      <c r="K72" s="442">
        <f t="shared" si="18"/>
        <v>0</v>
      </c>
      <c r="L72" s="424"/>
      <c r="M72" s="38"/>
      <c r="N72" s="38"/>
      <c r="O72" s="38"/>
      <c r="P72" s="38"/>
      <c r="Q72" s="38"/>
      <c r="R72" s="38"/>
      <c r="S72" s="38"/>
      <c r="T72" s="38"/>
      <c r="U72" s="38"/>
      <c r="V72" s="38"/>
      <c r="W72" s="38"/>
    </row>
    <row r="73" spans="1:23" ht="11.25" hidden="1" customHeight="1" x14ac:dyDescent="0.25">
      <c r="A73" s="407" t="str">
        <f>'Org structure'!E69</f>
        <v>7.1 - [Name of sub-vote]</v>
      </c>
      <c r="B73" s="445"/>
      <c r="C73" s="739"/>
      <c r="D73" s="740"/>
      <c r="E73" s="741"/>
      <c r="F73" s="742"/>
      <c r="G73" s="741"/>
      <c r="H73" s="742"/>
      <c r="I73" s="44">
        <f t="shared" si="16"/>
        <v>0</v>
      </c>
      <c r="J73" s="330" t="str">
        <f t="shared" si="17"/>
        <v/>
      </c>
      <c r="K73" s="743"/>
      <c r="L73" s="424"/>
      <c r="M73" s="38"/>
      <c r="N73" s="38"/>
      <c r="O73" s="38"/>
      <c r="P73" s="38"/>
      <c r="Q73" s="38"/>
      <c r="R73" s="38"/>
      <c r="S73" s="38"/>
      <c r="T73" s="38"/>
      <c r="U73" s="38"/>
      <c r="V73" s="38"/>
      <c r="W73" s="38"/>
    </row>
    <row r="74" spans="1:23" ht="11.25" hidden="1" customHeight="1" x14ac:dyDescent="0.25">
      <c r="A74" s="407">
        <f>'Org structure'!E70</f>
        <v>0</v>
      </c>
      <c r="B74" s="445"/>
      <c r="C74" s="739"/>
      <c r="D74" s="740"/>
      <c r="E74" s="741"/>
      <c r="F74" s="742"/>
      <c r="G74" s="741"/>
      <c r="H74" s="742"/>
      <c r="I74" s="44">
        <f t="shared" si="16"/>
        <v>0</v>
      </c>
      <c r="J74" s="330" t="str">
        <f t="shared" si="17"/>
        <v/>
      </c>
      <c r="K74" s="743"/>
      <c r="L74" s="424"/>
      <c r="M74" s="38"/>
      <c r="N74" s="38"/>
      <c r="O74" s="38"/>
      <c r="P74" s="38"/>
      <c r="Q74" s="38"/>
      <c r="R74" s="38"/>
      <c r="S74" s="38"/>
      <c r="T74" s="38"/>
      <c r="U74" s="38"/>
      <c r="V74" s="38"/>
      <c r="W74" s="38"/>
    </row>
    <row r="75" spans="1:23" ht="11.25" hidden="1" customHeight="1" x14ac:dyDescent="0.25">
      <c r="A75" s="407">
        <f>'Org structure'!E71</f>
        <v>0</v>
      </c>
      <c r="B75" s="445"/>
      <c r="C75" s="739"/>
      <c r="D75" s="740"/>
      <c r="E75" s="741"/>
      <c r="F75" s="742"/>
      <c r="G75" s="741"/>
      <c r="H75" s="742"/>
      <c r="I75" s="44">
        <f t="shared" si="16"/>
        <v>0</v>
      </c>
      <c r="J75" s="330" t="str">
        <f t="shared" si="17"/>
        <v/>
      </c>
      <c r="K75" s="743"/>
      <c r="L75" s="424"/>
      <c r="M75" s="38"/>
      <c r="N75" s="38"/>
      <c r="O75" s="38"/>
      <c r="P75" s="38"/>
      <c r="Q75" s="38"/>
      <c r="R75" s="38"/>
      <c r="S75" s="38"/>
      <c r="T75" s="38"/>
      <c r="U75" s="38"/>
      <c r="V75" s="38"/>
      <c r="W75" s="38"/>
    </row>
    <row r="76" spans="1:23" ht="11.25" hidden="1" customHeight="1" x14ac:dyDescent="0.25">
      <c r="A76" s="407">
        <f>'Org structure'!E72</f>
        <v>0</v>
      </c>
      <c r="B76" s="445"/>
      <c r="C76" s="739"/>
      <c r="D76" s="740"/>
      <c r="E76" s="741"/>
      <c r="F76" s="742"/>
      <c r="G76" s="741"/>
      <c r="H76" s="742"/>
      <c r="I76" s="44">
        <f t="shared" si="16"/>
        <v>0</v>
      </c>
      <c r="J76" s="330" t="str">
        <f t="shared" si="17"/>
        <v/>
      </c>
      <c r="K76" s="743"/>
      <c r="L76" s="424"/>
      <c r="M76" s="38"/>
      <c r="N76" s="38"/>
      <c r="O76" s="38"/>
      <c r="P76" s="38"/>
      <c r="Q76" s="38"/>
      <c r="R76" s="38"/>
      <c r="S76" s="38"/>
      <c r="T76" s="38"/>
      <c r="U76" s="38"/>
      <c r="V76" s="38"/>
      <c r="W76" s="38"/>
    </row>
    <row r="77" spans="1:23" ht="11.25" hidden="1" customHeight="1" x14ac:dyDescent="0.25">
      <c r="A77" s="407">
        <f>'Org structure'!E73</f>
        <v>0</v>
      </c>
      <c r="B77" s="445"/>
      <c r="C77" s="739"/>
      <c r="D77" s="740"/>
      <c r="E77" s="741"/>
      <c r="F77" s="742"/>
      <c r="G77" s="741"/>
      <c r="H77" s="742"/>
      <c r="I77" s="44">
        <f t="shared" si="16"/>
        <v>0</v>
      </c>
      <c r="J77" s="330" t="str">
        <f t="shared" si="17"/>
        <v/>
      </c>
      <c r="K77" s="743"/>
      <c r="L77" s="424"/>
      <c r="M77" s="38"/>
      <c r="N77" s="38"/>
      <c r="O77" s="38"/>
      <c r="P77" s="38"/>
      <c r="Q77" s="38"/>
      <c r="R77" s="38"/>
      <c r="S77" s="38"/>
      <c r="T77" s="38"/>
      <c r="U77" s="38"/>
      <c r="V77" s="38"/>
      <c r="W77" s="38"/>
    </row>
    <row r="78" spans="1:23" ht="11.25" hidden="1" customHeight="1" x14ac:dyDescent="0.25">
      <c r="A78" s="407">
        <f>'Org structure'!E74</f>
        <v>0</v>
      </c>
      <c r="B78" s="445"/>
      <c r="C78" s="739"/>
      <c r="D78" s="740"/>
      <c r="E78" s="741"/>
      <c r="F78" s="742"/>
      <c r="G78" s="741"/>
      <c r="H78" s="742"/>
      <c r="I78" s="44">
        <f t="shared" si="16"/>
        <v>0</v>
      </c>
      <c r="J78" s="330" t="str">
        <f t="shared" si="17"/>
        <v/>
      </c>
      <c r="K78" s="743"/>
      <c r="L78" s="446"/>
      <c r="M78" s="40"/>
      <c r="N78" s="40"/>
      <c r="O78" s="40"/>
      <c r="P78" s="40"/>
      <c r="Q78" s="40"/>
      <c r="R78" s="40"/>
      <c r="S78" s="40"/>
      <c r="T78" s="40"/>
      <c r="U78" s="40"/>
      <c r="V78" s="40"/>
      <c r="W78" s="40"/>
    </row>
    <row r="79" spans="1:23" ht="11.25" hidden="1" customHeight="1" x14ac:dyDescent="0.25">
      <c r="A79" s="407">
        <f>'Org structure'!E75</f>
        <v>0</v>
      </c>
      <c r="B79" s="445"/>
      <c r="C79" s="739"/>
      <c r="D79" s="740"/>
      <c r="E79" s="741"/>
      <c r="F79" s="742"/>
      <c r="G79" s="741"/>
      <c r="H79" s="742"/>
      <c r="I79" s="44">
        <f t="shared" si="16"/>
        <v>0</v>
      </c>
      <c r="J79" s="330" t="str">
        <f t="shared" si="17"/>
        <v/>
      </c>
      <c r="K79" s="743"/>
      <c r="L79" s="446"/>
      <c r="M79" s="40"/>
      <c r="N79" s="40"/>
      <c r="O79" s="40"/>
      <c r="P79" s="40"/>
      <c r="Q79" s="40"/>
      <c r="R79" s="40"/>
      <c r="S79" s="40"/>
      <c r="T79" s="40"/>
      <c r="U79" s="40"/>
      <c r="V79" s="40"/>
      <c r="W79" s="40"/>
    </row>
    <row r="80" spans="1:23" ht="11.25" hidden="1" customHeight="1" x14ac:dyDescent="0.25">
      <c r="A80" s="407">
        <f>'Org structure'!E76</f>
        <v>0</v>
      </c>
      <c r="B80" s="445"/>
      <c r="C80" s="739"/>
      <c r="D80" s="740"/>
      <c r="E80" s="741"/>
      <c r="F80" s="742"/>
      <c r="G80" s="741"/>
      <c r="H80" s="742"/>
      <c r="I80" s="44">
        <f t="shared" si="16"/>
        <v>0</v>
      </c>
      <c r="J80" s="330" t="str">
        <f t="shared" si="17"/>
        <v/>
      </c>
      <c r="K80" s="743"/>
      <c r="L80" s="446"/>
      <c r="M80" s="40"/>
      <c r="N80" s="40"/>
      <c r="O80" s="40"/>
      <c r="P80" s="40"/>
      <c r="Q80" s="40"/>
      <c r="R80" s="40"/>
      <c r="S80" s="40"/>
      <c r="T80" s="40"/>
      <c r="U80" s="40"/>
      <c r="V80" s="40"/>
      <c r="W80" s="40"/>
    </row>
    <row r="81" spans="1:23" ht="11.25" hidden="1" customHeight="1" x14ac:dyDescent="0.25">
      <c r="A81" s="407">
        <f>'Org structure'!E77</f>
        <v>0</v>
      </c>
      <c r="B81" s="445"/>
      <c r="C81" s="739"/>
      <c r="D81" s="740"/>
      <c r="E81" s="741"/>
      <c r="F81" s="742"/>
      <c r="G81" s="741"/>
      <c r="H81" s="742"/>
      <c r="I81" s="44">
        <f t="shared" si="16"/>
        <v>0</v>
      </c>
      <c r="J81" s="330" t="str">
        <f t="shared" si="17"/>
        <v/>
      </c>
      <c r="K81" s="743"/>
      <c r="L81" s="446"/>
      <c r="M81" s="40"/>
      <c r="N81" s="40"/>
      <c r="O81" s="40"/>
      <c r="P81" s="40"/>
      <c r="Q81" s="40"/>
      <c r="R81" s="40"/>
      <c r="S81" s="40"/>
      <c r="T81" s="40"/>
      <c r="U81" s="40"/>
      <c r="V81" s="40"/>
      <c r="W81" s="40"/>
    </row>
    <row r="82" spans="1:23" ht="11.25" hidden="1" customHeight="1" x14ac:dyDescent="0.25">
      <c r="A82" s="407">
        <f>'Org structure'!E78</f>
        <v>0</v>
      </c>
      <c r="B82" s="445"/>
      <c r="C82" s="739"/>
      <c r="D82" s="740"/>
      <c r="E82" s="741"/>
      <c r="F82" s="742"/>
      <c r="G82" s="741"/>
      <c r="H82" s="742"/>
      <c r="I82" s="44">
        <f t="shared" si="16"/>
        <v>0</v>
      </c>
      <c r="J82" s="330" t="str">
        <f t="shared" si="17"/>
        <v/>
      </c>
      <c r="K82" s="743"/>
      <c r="L82" s="446"/>
      <c r="M82" s="40"/>
      <c r="N82" s="40"/>
      <c r="O82" s="40"/>
      <c r="P82" s="40"/>
      <c r="Q82" s="40"/>
      <c r="R82" s="40"/>
      <c r="S82" s="40"/>
      <c r="T82" s="40"/>
      <c r="U82" s="40"/>
      <c r="V82" s="40"/>
      <c r="W82" s="40"/>
    </row>
    <row r="83" spans="1:23" ht="11.25" hidden="1" customHeight="1" x14ac:dyDescent="0.25">
      <c r="A83" s="466" t="str">
        <f>'Org structure'!A9</f>
        <v>Vote 8 - [NAME OF VOTE 8]</v>
      </c>
      <c r="B83" s="445"/>
      <c r="C83" s="503">
        <f>SUM(C84:C93)</f>
        <v>0</v>
      </c>
      <c r="D83" s="444">
        <f t="shared" ref="D83:K83" si="19">SUM(D84:D93)</f>
        <v>0</v>
      </c>
      <c r="E83" s="441">
        <f t="shared" si="19"/>
        <v>0</v>
      </c>
      <c r="F83" s="443">
        <f t="shared" si="19"/>
        <v>0</v>
      </c>
      <c r="G83" s="441">
        <f t="shared" si="19"/>
        <v>0</v>
      </c>
      <c r="H83" s="443">
        <f t="shared" si="19"/>
        <v>0</v>
      </c>
      <c r="I83" s="44">
        <f t="shared" si="16"/>
        <v>0</v>
      </c>
      <c r="J83" s="330" t="str">
        <f t="shared" si="17"/>
        <v/>
      </c>
      <c r="K83" s="442">
        <f t="shared" si="19"/>
        <v>0</v>
      </c>
      <c r="L83" s="446"/>
      <c r="M83" s="40"/>
      <c r="N83" s="40"/>
      <c r="O83" s="40"/>
      <c r="P83" s="40"/>
      <c r="Q83" s="40"/>
      <c r="R83" s="40"/>
      <c r="S83" s="40"/>
      <c r="T83" s="40"/>
      <c r="U83" s="40"/>
      <c r="V83" s="40"/>
      <c r="W83" s="40"/>
    </row>
    <row r="84" spans="1:23" ht="11.25" hidden="1" customHeight="1" x14ac:dyDescent="0.25">
      <c r="A84" s="407" t="str">
        <f>'Org structure'!E80</f>
        <v>8.1 - [Name of sub-vote]</v>
      </c>
      <c r="B84" s="445"/>
      <c r="C84" s="739"/>
      <c r="D84" s="740"/>
      <c r="E84" s="741"/>
      <c r="F84" s="742"/>
      <c r="G84" s="741"/>
      <c r="H84" s="742"/>
      <c r="I84" s="44">
        <f t="shared" si="16"/>
        <v>0</v>
      </c>
      <c r="J84" s="330" t="str">
        <f t="shared" si="17"/>
        <v/>
      </c>
      <c r="K84" s="743"/>
      <c r="L84" s="446"/>
      <c r="M84" s="40"/>
      <c r="N84" s="40"/>
      <c r="O84" s="40"/>
      <c r="P84" s="40"/>
      <c r="Q84" s="40"/>
      <c r="R84" s="40"/>
      <c r="S84" s="40"/>
      <c r="T84" s="40"/>
      <c r="U84" s="40"/>
      <c r="V84" s="40"/>
      <c r="W84" s="40"/>
    </row>
    <row r="85" spans="1:23" ht="11.25" hidden="1" customHeight="1" x14ac:dyDescent="0.25">
      <c r="A85" s="407">
        <f>'Org structure'!E81</f>
        <v>0</v>
      </c>
      <c r="B85" s="445"/>
      <c r="C85" s="739"/>
      <c r="D85" s="740"/>
      <c r="E85" s="741"/>
      <c r="F85" s="742"/>
      <c r="G85" s="741"/>
      <c r="H85" s="742"/>
      <c r="I85" s="44">
        <f t="shared" si="16"/>
        <v>0</v>
      </c>
      <c r="J85" s="330" t="str">
        <f t="shared" si="17"/>
        <v/>
      </c>
      <c r="K85" s="743"/>
      <c r="L85" s="446"/>
      <c r="M85" s="40"/>
      <c r="N85" s="40"/>
      <c r="O85" s="40"/>
      <c r="P85" s="40"/>
      <c r="Q85" s="40"/>
      <c r="R85" s="40"/>
      <c r="S85" s="40"/>
      <c r="T85" s="40"/>
      <c r="U85" s="40"/>
      <c r="V85" s="40"/>
      <c r="W85" s="40"/>
    </row>
    <row r="86" spans="1:23" ht="11.25" hidden="1" customHeight="1" x14ac:dyDescent="0.25">
      <c r="A86" s="407">
        <f>'Org structure'!E82</f>
        <v>0</v>
      </c>
      <c r="B86" s="445"/>
      <c r="C86" s="739"/>
      <c r="D86" s="740"/>
      <c r="E86" s="741"/>
      <c r="F86" s="742"/>
      <c r="G86" s="741"/>
      <c r="H86" s="742"/>
      <c r="I86" s="44">
        <f t="shared" si="16"/>
        <v>0</v>
      </c>
      <c r="J86" s="330" t="str">
        <f t="shared" si="17"/>
        <v/>
      </c>
      <c r="K86" s="743"/>
      <c r="L86" s="446"/>
      <c r="M86" s="40"/>
      <c r="N86" s="40"/>
      <c r="O86" s="40"/>
      <c r="P86" s="40"/>
      <c r="Q86" s="40"/>
      <c r="R86" s="40"/>
      <c r="S86" s="40"/>
      <c r="T86" s="40"/>
      <c r="U86" s="40"/>
      <c r="V86" s="40"/>
      <c r="W86" s="40"/>
    </row>
    <row r="87" spans="1:23" ht="11.25" hidden="1" customHeight="1" x14ac:dyDescent="0.25">
      <c r="A87" s="407">
        <f>'Org structure'!E83</f>
        <v>0</v>
      </c>
      <c r="B87" s="445"/>
      <c r="C87" s="739"/>
      <c r="D87" s="740"/>
      <c r="E87" s="741"/>
      <c r="F87" s="742"/>
      <c r="G87" s="741"/>
      <c r="H87" s="742"/>
      <c r="I87" s="44">
        <f t="shared" si="16"/>
        <v>0</v>
      </c>
      <c r="J87" s="330" t="str">
        <f t="shared" si="17"/>
        <v/>
      </c>
      <c r="K87" s="743"/>
      <c r="L87" s="446"/>
      <c r="M87" s="40"/>
      <c r="N87" s="40"/>
      <c r="O87" s="40"/>
      <c r="P87" s="40"/>
      <c r="Q87" s="40"/>
      <c r="R87" s="40"/>
      <c r="S87" s="40"/>
      <c r="T87" s="40"/>
      <c r="U87" s="40"/>
      <c r="V87" s="40"/>
      <c r="W87" s="40"/>
    </row>
    <row r="88" spans="1:23" ht="11.25" hidden="1" customHeight="1" x14ac:dyDescent="0.25">
      <c r="A88" s="407">
        <f>'Org structure'!E84</f>
        <v>0</v>
      </c>
      <c r="B88" s="445"/>
      <c r="C88" s="739"/>
      <c r="D88" s="740"/>
      <c r="E88" s="741"/>
      <c r="F88" s="742"/>
      <c r="G88" s="741"/>
      <c r="H88" s="742"/>
      <c r="I88" s="44">
        <f t="shared" si="16"/>
        <v>0</v>
      </c>
      <c r="J88" s="330" t="str">
        <f t="shared" si="17"/>
        <v/>
      </c>
      <c r="K88" s="743"/>
      <c r="L88" s="446"/>
      <c r="M88" s="40"/>
      <c r="N88" s="40"/>
      <c r="O88" s="40"/>
      <c r="P88" s="40"/>
      <c r="Q88" s="40"/>
      <c r="R88" s="40"/>
      <c r="S88" s="40"/>
      <c r="T88" s="40"/>
      <c r="U88" s="40"/>
      <c r="V88" s="40"/>
      <c r="W88" s="40"/>
    </row>
    <row r="89" spans="1:23" ht="11.25" hidden="1" customHeight="1" x14ac:dyDescent="0.25">
      <c r="A89" s="407">
        <f>'Org structure'!E85</f>
        <v>0</v>
      </c>
      <c r="B89" s="445"/>
      <c r="C89" s="739"/>
      <c r="D89" s="740"/>
      <c r="E89" s="741"/>
      <c r="F89" s="742"/>
      <c r="G89" s="741"/>
      <c r="H89" s="742"/>
      <c r="I89" s="44">
        <f t="shared" si="16"/>
        <v>0</v>
      </c>
      <c r="J89" s="330" t="str">
        <f t="shared" si="17"/>
        <v/>
      </c>
      <c r="K89" s="743"/>
      <c r="L89" s="446"/>
      <c r="M89" s="40"/>
      <c r="N89" s="40"/>
      <c r="O89" s="40"/>
      <c r="P89" s="40"/>
      <c r="Q89" s="40"/>
      <c r="R89" s="40"/>
      <c r="S89" s="40"/>
      <c r="T89" s="40"/>
      <c r="U89" s="40"/>
      <c r="V89" s="40"/>
      <c r="W89" s="40"/>
    </row>
    <row r="90" spans="1:23" ht="11.25" hidden="1" customHeight="1" x14ac:dyDescent="0.25">
      <c r="A90" s="407">
        <f>'Org structure'!E86</f>
        <v>0</v>
      </c>
      <c r="B90" s="445"/>
      <c r="C90" s="739"/>
      <c r="D90" s="740"/>
      <c r="E90" s="741"/>
      <c r="F90" s="742"/>
      <c r="G90" s="741"/>
      <c r="H90" s="742"/>
      <c r="I90" s="44">
        <f t="shared" si="16"/>
        <v>0</v>
      </c>
      <c r="J90" s="330" t="str">
        <f t="shared" si="17"/>
        <v/>
      </c>
      <c r="K90" s="743"/>
      <c r="L90" s="446"/>
      <c r="M90" s="40"/>
      <c r="N90" s="40"/>
      <c r="O90" s="40"/>
      <c r="P90" s="40"/>
      <c r="Q90" s="40"/>
      <c r="R90" s="40"/>
      <c r="S90" s="40"/>
      <c r="T90" s="40"/>
      <c r="U90" s="40"/>
      <c r="V90" s="40"/>
      <c r="W90" s="40"/>
    </row>
    <row r="91" spans="1:23" ht="11.25" hidden="1" customHeight="1" x14ac:dyDescent="0.25">
      <c r="A91" s="407">
        <f>'Org structure'!E87</f>
        <v>0</v>
      </c>
      <c r="B91" s="445"/>
      <c r="C91" s="739"/>
      <c r="D91" s="740"/>
      <c r="E91" s="741"/>
      <c r="F91" s="742"/>
      <c r="G91" s="741"/>
      <c r="H91" s="742"/>
      <c r="I91" s="44">
        <f t="shared" si="16"/>
        <v>0</v>
      </c>
      <c r="J91" s="330" t="str">
        <f t="shared" si="17"/>
        <v/>
      </c>
      <c r="K91" s="743"/>
      <c r="L91" s="446"/>
      <c r="M91" s="40"/>
      <c r="N91" s="40"/>
      <c r="O91" s="40"/>
      <c r="P91" s="40"/>
      <c r="Q91" s="40"/>
      <c r="R91" s="40"/>
      <c r="S91" s="40"/>
      <c r="T91" s="40"/>
      <c r="U91" s="40"/>
      <c r="V91" s="40"/>
      <c r="W91" s="40"/>
    </row>
    <row r="92" spans="1:23" ht="11.25" hidden="1" customHeight="1" x14ac:dyDescent="0.25">
      <c r="A92" s="407">
        <f>'Org structure'!E88</f>
        <v>0</v>
      </c>
      <c r="B92" s="445"/>
      <c r="C92" s="739"/>
      <c r="D92" s="740"/>
      <c r="E92" s="741"/>
      <c r="F92" s="742"/>
      <c r="G92" s="741"/>
      <c r="H92" s="742"/>
      <c r="I92" s="44">
        <f t="shared" si="16"/>
        <v>0</v>
      </c>
      <c r="J92" s="330" t="str">
        <f t="shared" si="17"/>
        <v/>
      </c>
      <c r="K92" s="743"/>
      <c r="L92" s="446"/>
      <c r="M92" s="40"/>
      <c r="N92" s="40"/>
      <c r="O92" s="40"/>
      <c r="P92" s="40"/>
      <c r="Q92" s="40"/>
      <c r="R92" s="40"/>
      <c r="S92" s="40"/>
      <c r="T92" s="40"/>
      <c r="U92" s="40"/>
      <c r="V92" s="40"/>
      <c r="W92" s="40"/>
    </row>
    <row r="93" spans="1:23" ht="11.25" hidden="1" customHeight="1" x14ac:dyDescent="0.25">
      <c r="A93" s="407">
        <f>'Org structure'!E89</f>
        <v>0</v>
      </c>
      <c r="B93" s="445"/>
      <c r="C93" s="739"/>
      <c r="D93" s="740"/>
      <c r="E93" s="741"/>
      <c r="F93" s="742"/>
      <c r="G93" s="741"/>
      <c r="H93" s="742"/>
      <c r="I93" s="44">
        <f t="shared" si="16"/>
        <v>0</v>
      </c>
      <c r="J93" s="330" t="str">
        <f t="shared" si="17"/>
        <v/>
      </c>
      <c r="K93" s="743"/>
      <c r="L93" s="446"/>
      <c r="M93" s="40"/>
      <c r="N93" s="40"/>
      <c r="O93" s="40"/>
      <c r="P93" s="40"/>
      <c r="Q93" s="40"/>
      <c r="R93" s="40"/>
      <c r="S93" s="40"/>
      <c r="T93" s="40"/>
      <c r="U93" s="40"/>
      <c r="V93" s="40"/>
      <c r="W93" s="40"/>
    </row>
    <row r="94" spans="1:23" ht="11.25" hidden="1" customHeight="1" x14ac:dyDescent="0.25">
      <c r="A94" s="466" t="str">
        <f>'Org structure'!A10</f>
        <v>Vote 9 - [NAME OF VOTE 9]</v>
      </c>
      <c r="B94" s="445"/>
      <c r="C94" s="503">
        <f>SUM(C95:C104)</f>
        <v>0</v>
      </c>
      <c r="D94" s="444">
        <f t="shared" ref="D94:K94" si="20">SUM(D95:D104)</f>
        <v>0</v>
      </c>
      <c r="E94" s="441">
        <f t="shared" si="20"/>
        <v>0</v>
      </c>
      <c r="F94" s="443">
        <f t="shared" si="20"/>
        <v>0</v>
      </c>
      <c r="G94" s="441">
        <f t="shared" si="20"/>
        <v>0</v>
      </c>
      <c r="H94" s="443">
        <f t="shared" si="20"/>
        <v>0</v>
      </c>
      <c r="I94" s="44">
        <f t="shared" si="16"/>
        <v>0</v>
      </c>
      <c r="J94" s="330" t="str">
        <f t="shared" si="17"/>
        <v/>
      </c>
      <c r="K94" s="442">
        <f t="shared" si="20"/>
        <v>0</v>
      </c>
      <c r="L94" s="446"/>
      <c r="M94" s="40"/>
      <c r="N94" s="40"/>
      <c r="O94" s="40"/>
      <c r="P94" s="40"/>
      <c r="Q94" s="40"/>
      <c r="R94" s="40"/>
      <c r="S94" s="40"/>
      <c r="T94" s="40"/>
      <c r="U94" s="40"/>
      <c r="V94" s="40"/>
      <c r="W94" s="40"/>
    </row>
    <row r="95" spans="1:23" ht="11.25" hidden="1" customHeight="1" x14ac:dyDescent="0.25">
      <c r="A95" s="407" t="str">
        <f>'Org structure'!E91</f>
        <v>9.1 - [Name of sub-vote]</v>
      </c>
      <c r="B95" s="445"/>
      <c r="C95" s="739"/>
      <c r="D95" s="740"/>
      <c r="E95" s="741"/>
      <c r="F95" s="742"/>
      <c r="G95" s="741"/>
      <c r="H95" s="742"/>
      <c r="I95" s="44">
        <f t="shared" si="16"/>
        <v>0</v>
      </c>
      <c r="J95" s="330" t="str">
        <f t="shared" si="17"/>
        <v/>
      </c>
      <c r="K95" s="743"/>
      <c r="L95" s="446"/>
      <c r="M95" s="40"/>
      <c r="N95" s="40"/>
      <c r="O95" s="40"/>
      <c r="P95" s="40"/>
      <c r="Q95" s="40"/>
      <c r="R95" s="40"/>
      <c r="S95" s="40"/>
      <c r="T95" s="40"/>
      <c r="U95" s="40"/>
      <c r="V95" s="40"/>
      <c r="W95" s="40"/>
    </row>
    <row r="96" spans="1:23" ht="11.25" hidden="1" customHeight="1" x14ac:dyDescent="0.25">
      <c r="A96" s="407">
        <f>'Org structure'!E92</f>
        <v>0</v>
      </c>
      <c r="B96" s="445"/>
      <c r="C96" s="739"/>
      <c r="D96" s="740"/>
      <c r="E96" s="741"/>
      <c r="F96" s="742"/>
      <c r="G96" s="741"/>
      <c r="H96" s="742"/>
      <c r="I96" s="44">
        <f t="shared" si="16"/>
        <v>0</v>
      </c>
      <c r="J96" s="330" t="str">
        <f t="shared" si="17"/>
        <v/>
      </c>
      <c r="K96" s="743"/>
      <c r="L96" s="446"/>
      <c r="M96" s="40"/>
      <c r="N96" s="40"/>
      <c r="O96" s="40"/>
      <c r="P96" s="40"/>
      <c r="Q96" s="40"/>
      <c r="R96" s="40"/>
      <c r="S96" s="40"/>
      <c r="T96" s="40"/>
      <c r="U96" s="40"/>
      <c r="V96" s="40"/>
      <c r="W96" s="40"/>
    </row>
    <row r="97" spans="1:23" ht="11.25" hidden="1" customHeight="1" x14ac:dyDescent="0.25">
      <c r="A97" s="407">
        <f>'Org structure'!E93</f>
        <v>0</v>
      </c>
      <c r="B97" s="445"/>
      <c r="C97" s="739"/>
      <c r="D97" s="740"/>
      <c r="E97" s="741"/>
      <c r="F97" s="742"/>
      <c r="G97" s="741"/>
      <c r="H97" s="742"/>
      <c r="I97" s="44">
        <f t="shared" si="16"/>
        <v>0</v>
      </c>
      <c r="J97" s="330" t="str">
        <f t="shared" si="17"/>
        <v/>
      </c>
      <c r="K97" s="743"/>
      <c r="L97" s="446"/>
      <c r="M97" s="40"/>
      <c r="N97" s="40"/>
      <c r="O97" s="40"/>
      <c r="P97" s="40"/>
      <c r="Q97" s="40"/>
      <c r="R97" s="40"/>
      <c r="S97" s="40"/>
      <c r="T97" s="40"/>
      <c r="U97" s="40"/>
      <c r="V97" s="40"/>
      <c r="W97" s="40"/>
    </row>
    <row r="98" spans="1:23" ht="11.25" hidden="1" customHeight="1" x14ac:dyDescent="0.25">
      <c r="A98" s="407">
        <f>'Org structure'!E94</f>
        <v>0</v>
      </c>
      <c r="B98" s="445"/>
      <c r="C98" s="739"/>
      <c r="D98" s="740"/>
      <c r="E98" s="741"/>
      <c r="F98" s="742"/>
      <c r="G98" s="741"/>
      <c r="H98" s="742"/>
      <c r="I98" s="44">
        <f t="shared" si="16"/>
        <v>0</v>
      </c>
      <c r="J98" s="330" t="str">
        <f t="shared" si="17"/>
        <v/>
      </c>
      <c r="K98" s="743"/>
      <c r="L98" s="446"/>
      <c r="M98" s="40"/>
      <c r="N98" s="40"/>
      <c r="O98" s="40"/>
      <c r="P98" s="40"/>
      <c r="Q98" s="40"/>
      <c r="R98" s="40"/>
      <c r="S98" s="40"/>
      <c r="T98" s="40"/>
      <c r="U98" s="40"/>
      <c r="V98" s="40"/>
      <c r="W98" s="40"/>
    </row>
    <row r="99" spans="1:23" ht="11.25" hidden="1" customHeight="1" x14ac:dyDescent="0.25">
      <c r="A99" s="407">
        <f>'Org structure'!E95</f>
        <v>0</v>
      </c>
      <c r="B99" s="445"/>
      <c r="C99" s="739"/>
      <c r="D99" s="740"/>
      <c r="E99" s="741"/>
      <c r="F99" s="742"/>
      <c r="G99" s="741"/>
      <c r="H99" s="742"/>
      <c r="I99" s="44">
        <f t="shared" si="16"/>
        <v>0</v>
      </c>
      <c r="J99" s="330" t="str">
        <f t="shared" si="17"/>
        <v/>
      </c>
      <c r="K99" s="743"/>
      <c r="L99" s="446"/>
      <c r="M99" s="40"/>
      <c r="N99" s="40"/>
      <c r="O99" s="40"/>
      <c r="P99" s="40"/>
      <c r="Q99" s="40"/>
      <c r="R99" s="40"/>
      <c r="S99" s="40"/>
      <c r="T99" s="40"/>
      <c r="U99" s="40"/>
      <c r="V99" s="40"/>
      <c r="W99" s="40"/>
    </row>
    <row r="100" spans="1:23" ht="11.25" hidden="1" customHeight="1" x14ac:dyDescent="0.25">
      <c r="A100" s="407">
        <f>'Org structure'!E96</f>
        <v>0</v>
      </c>
      <c r="B100" s="445"/>
      <c r="C100" s="739"/>
      <c r="D100" s="740"/>
      <c r="E100" s="741"/>
      <c r="F100" s="742"/>
      <c r="G100" s="741"/>
      <c r="H100" s="742"/>
      <c r="I100" s="44">
        <f t="shared" si="16"/>
        <v>0</v>
      </c>
      <c r="J100" s="330" t="str">
        <f t="shared" si="17"/>
        <v/>
      </c>
      <c r="K100" s="743"/>
      <c r="L100" s="446"/>
      <c r="M100" s="40"/>
      <c r="N100" s="40"/>
      <c r="O100" s="40"/>
      <c r="P100" s="40"/>
      <c r="Q100" s="40"/>
      <c r="R100" s="40"/>
      <c r="S100" s="40"/>
      <c r="T100" s="40"/>
      <c r="U100" s="40"/>
      <c r="V100" s="40"/>
      <c r="W100" s="40"/>
    </row>
    <row r="101" spans="1:23" ht="11.25" hidden="1" customHeight="1" x14ac:dyDescent="0.25">
      <c r="A101" s="407">
        <f>'Org structure'!E97</f>
        <v>0</v>
      </c>
      <c r="B101" s="445"/>
      <c r="C101" s="739"/>
      <c r="D101" s="740"/>
      <c r="E101" s="741"/>
      <c r="F101" s="742"/>
      <c r="G101" s="741"/>
      <c r="H101" s="742"/>
      <c r="I101" s="44">
        <f t="shared" si="16"/>
        <v>0</v>
      </c>
      <c r="J101" s="330" t="str">
        <f t="shared" si="17"/>
        <v/>
      </c>
      <c r="K101" s="743"/>
      <c r="L101" s="446"/>
      <c r="M101" s="40"/>
      <c r="N101" s="40"/>
      <c r="O101" s="40"/>
      <c r="P101" s="40"/>
      <c r="Q101" s="40"/>
      <c r="R101" s="40"/>
      <c r="S101" s="40"/>
      <c r="T101" s="40"/>
      <c r="U101" s="40"/>
      <c r="V101" s="40"/>
      <c r="W101" s="40"/>
    </row>
    <row r="102" spans="1:23" ht="11.25" hidden="1" customHeight="1" x14ac:dyDescent="0.25">
      <c r="A102" s="407">
        <f>'Org structure'!E98</f>
        <v>0</v>
      </c>
      <c r="B102" s="445"/>
      <c r="C102" s="739"/>
      <c r="D102" s="740"/>
      <c r="E102" s="741"/>
      <c r="F102" s="742"/>
      <c r="G102" s="741"/>
      <c r="H102" s="742"/>
      <c r="I102" s="44">
        <f t="shared" si="16"/>
        <v>0</v>
      </c>
      <c r="J102" s="330" t="str">
        <f t="shared" si="17"/>
        <v/>
      </c>
      <c r="K102" s="743"/>
      <c r="L102" s="446"/>
      <c r="M102" s="40"/>
      <c r="N102" s="40"/>
      <c r="O102" s="40"/>
      <c r="P102" s="40"/>
      <c r="Q102" s="40"/>
      <c r="R102" s="40"/>
      <c r="S102" s="40"/>
      <c r="T102" s="40"/>
      <c r="U102" s="40"/>
      <c r="V102" s="40"/>
      <c r="W102" s="40"/>
    </row>
    <row r="103" spans="1:23" ht="11.25" hidden="1" customHeight="1" x14ac:dyDescent="0.25">
      <c r="A103" s="407">
        <f>'Org structure'!E99</f>
        <v>0</v>
      </c>
      <c r="B103" s="445"/>
      <c r="C103" s="739"/>
      <c r="D103" s="740"/>
      <c r="E103" s="741"/>
      <c r="F103" s="742"/>
      <c r="G103" s="741"/>
      <c r="H103" s="742"/>
      <c r="I103" s="44">
        <f t="shared" si="16"/>
        <v>0</v>
      </c>
      <c r="J103" s="330" t="str">
        <f t="shared" si="17"/>
        <v/>
      </c>
      <c r="K103" s="743"/>
      <c r="L103" s="446"/>
      <c r="M103" s="40"/>
      <c r="N103" s="40"/>
      <c r="O103" s="40"/>
      <c r="P103" s="40"/>
      <c r="Q103" s="40"/>
      <c r="R103" s="40"/>
      <c r="S103" s="40"/>
      <c r="T103" s="40"/>
      <c r="U103" s="40"/>
      <c r="V103" s="40"/>
      <c r="W103" s="40"/>
    </row>
    <row r="104" spans="1:23" ht="11.25" hidden="1" customHeight="1" x14ac:dyDescent="0.25">
      <c r="A104" s="407">
        <f>'Org structure'!E100</f>
        <v>0</v>
      </c>
      <c r="B104" s="445"/>
      <c r="C104" s="739"/>
      <c r="D104" s="740"/>
      <c r="E104" s="741"/>
      <c r="F104" s="742"/>
      <c r="G104" s="741"/>
      <c r="H104" s="742"/>
      <c r="I104" s="44">
        <f t="shared" si="16"/>
        <v>0</v>
      </c>
      <c r="J104" s="330" t="str">
        <f t="shared" si="17"/>
        <v/>
      </c>
      <c r="K104" s="743"/>
      <c r="L104" s="446"/>
      <c r="M104" s="40"/>
      <c r="N104" s="40"/>
      <c r="O104" s="40"/>
      <c r="P104" s="40"/>
      <c r="Q104" s="40"/>
      <c r="R104" s="40"/>
      <c r="S104" s="40"/>
      <c r="T104" s="40"/>
      <c r="U104" s="40"/>
      <c r="V104" s="40"/>
      <c r="W104" s="40"/>
    </row>
    <row r="105" spans="1:23" ht="11.25" hidden="1" customHeight="1" x14ac:dyDescent="0.25">
      <c r="A105" s="466" t="str">
        <f>'Org structure'!A11</f>
        <v>Vote 10 - [NAME OF VOTE 10]</v>
      </c>
      <c r="B105" s="445"/>
      <c r="C105" s="503">
        <f>SUM(C106:C115)</f>
        <v>0</v>
      </c>
      <c r="D105" s="444">
        <f t="shared" ref="D105:K105" si="21">SUM(D106:D115)</f>
        <v>0</v>
      </c>
      <c r="E105" s="441">
        <f t="shared" si="21"/>
        <v>0</v>
      </c>
      <c r="F105" s="443">
        <f t="shared" si="21"/>
        <v>0</v>
      </c>
      <c r="G105" s="441">
        <f t="shared" si="21"/>
        <v>0</v>
      </c>
      <c r="H105" s="443">
        <f t="shared" si="21"/>
        <v>0</v>
      </c>
      <c r="I105" s="44">
        <f t="shared" si="16"/>
        <v>0</v>
      </c>
      <c r="J105" s="330" t="str">
        <f t="shared" si="17"/>
        <v/>
      </c>
      <c r="K105" s="442">
        <f t="shared" si="21"/>
        <v>0</v>
      </c>
      <c r="L105" s="446"/>
      <c r="M105" s="40"/>
      <c r="N105" s="40"/>
      <c r="O105" s="40"/>
      <c r="P105" s="40"/>
      <c r="Q105" s="40"/>
      <c r="R105" s="40"/>
      <c r="S105" s="40"/>
      <c r="T105" s="40"/>
      <c r="U105" s="40"/>
      <c r="V105" s="40"/>
      <c r="W105" s="40"/>
    </row>
    <row r="106" spans="1:23" ht="11.25" hidden="1" customHeight="1" x14ac:dyDescent="0.25">
      <c r="A106" s="407" t="str">
        <f>'Org structure'!E102</f>
        <v>10.1 - [Name of sub-vote]</v>
      </c>
      <c r="B106" s="445"/>
      <c r="C106" s="739"/>
      <c r="D106" s="740"/>
      <c r="E106" s="741"/>
      <c r="F106" s="742"/>
      <c r="G106" s="741"/>
      <c r="H106" s="742"/>
      <c r="I106" s="44">
        <f t="shared" si="16"/>
        <v>0</v>
      </c>
      <c r="J106" s="330" t="str">
        <f t="shared" si="17"/>
        <v/>
      </c>
      <c r="K106" s="743"/>
      <c r="L106" s="446"/>
      <c r="M106" s="40"/>
      <c r="N106" s="40"/>
      <c r="O106" s="40"/>
      <c r="P106" s="40"/>
      <c r="Q106" s="40"/>
      <c r="R106" s="40"/>
      <c r="S106" s="40"/>
      <c r="T106" s="40"/>
      <c r="U106" s="40"/>
      <c r="V106" s="40"/>
      <c r="W106" s="40"/>
    </row>
    <row r="107" spans="1:23" ht="11.25" hidden="1" customHeight="1" x14ac:dyDescent="0.25">
      <c r="A107" s="407">
        <f>'Org structure'!E103</f>
        <v>0</v>
      </c>
      <c r="B107" s="445"/>
      <c r="C107" s="739"/>
      <c r="D107" s="740"/>
      <c r="E107" s="741"/>
      <c r="F107" s="742"/>
      <c r="G107" s="741"/>
      <c r="H107" s="742"/>
      <c r="I107" s="44">
        <f t="shared" si="16"/>
        <v>0</v>
      </c>
      <c r="J107" s="330" t="str">
        <f t="shared" si="17"/>
        <v/>
      </c>
      <c r="K107" s="743"/>
      <c r="L107" s="446"/>
      <c r="M107" s="40"/>
      <c r="N107" s="40"/>
      <c r="O107" s="40"/>
      <c r="P107" s="40"/>
      <c r="Q107" s="40"/>
      <c r="R107" s="40"/>
      <c r="S107" s="40"/>
      <c r="T107" s="40"/>
      <c r="U107" s="40"/>
      <c r="V107" s="40"/>
      <c r="W107" s="40"/>
    </row>
    <row r="108" spans="1:23" ht="11.25" hidden="1" customHeight="1" x14ac:dyDescent="0.25">
      <c r="A108" s="407">
        <f>'Org structure'!E104</f>
        <v>0</v>
      </c>
      <c r="B108" s="445"/>
      <c r="C108" s="739"/>
      <c r="D108" s="740"/>
      <c r="E108" s="741"/>
      <c r="F108" s="742"/>
      <c r="G108" s="741"/>
      <c r="H108" s="742"/>
      <c r="I108" s="44">
        <f t="shared" si="16"/>
        <v>0</v>
      </c>
      <c r="J108" s="330" t="str">
        <f t="shared" si="17"/>
        <v/>
      </c>
      <c r="K108" s="743"/>
      <c r="L108" s="446"/>
      <c r="M108" s="40"/>
      <c r="N108" s="40"/>
      <c r="O108" s="40"/>
      <c r="P108" s="40"/>
      <c r="Q108" s="40"/>
      <c r="R108" s="40"/>
      <c r="S108" s="40"/>
      <c r="T108" s="40"/>
      <c r="U108" s="40"/>
      <c r="V108" s="40"/>
      <c r="W108" s="40"/>
    </row>
    <row r="109" spans="1:23" ht="11.25" hidden="1" customHeight="1" x14ac:dyDescent="0.25">
      <c r="A109" s="407">
        <f>'Org structure'!E105</f>
        <v>0</v>
      </c>
      <c r="B109" s="445"/>
      <c r="C109" s="739"/>
      <c r="D109" s="740"/>
      <c r="E109" s="741"/>
      <c r="F109" s="742"/>
      <c r="G109" s="741"/>
      <c r="H109" s="742"/>
      <c r="I109" s="44">
        <f t="shared" si="16"/>
        <v>0</v>
      </c>
      <c r="J109" s="330" t="str">
        <f t="shared" si="17"/>
        <v/>
      </c>
      <c r="K109" s="743"/>
      <c r="L109" s="446"/>
      <c r="M109" s="40"/>
      <c r="N109" s="40"/>
      <c r="O109" s="40"/>
      <c r="P109" s="40"/>
      <c r="Q109" s="40"/>
      <c r="R109" s="40"/>
      <c r="S109" s="40"/>
      <c r="T109" s="40"/>
      <c r="U109" s="40"/>
      <c r="V109" s="40"/>
      <c r="W109" s="40"/>
    </row>
    <row r="110" spans="1:23" ht="11.25" hidden="1" customHeight="1" x14ac:dyDescent="0.25">
      <c r="A110" s="407">
        <f>'Org structure'!E106</f>
        <v>0</v>
      </c>
      <c r="B110" s="445"/>
      <c r="C110" s="739"/>
      <c r="D110" s="740"/>
      <c r="E110" s="741"/>
      <c r="F110" s="742"/>
      <c r="G110" s="741"/>
      <c r="H110" s="742"/>
      <c r="I110" s="44">
        <f t="shared" si="16"/>
        <v>0</v>
      </c>
      <c r="J110" s="330" t="str">
        <f t="shared" si="17"/>
        <v/>
      </c>
      <c r="K110" s="743"/>
      <c r="L110" s="446"/>
      <c r="M110" s="40"/>
      <c r="N110" s="40"/>
      <c r="O110" s="40"/>
      <c r="P110" s="40"/>
      <c r="Q110" s="40"/>
      <c r="R110" s="40"/>
      <c r="S110" s="40"/>
      <c r="T110" s="40"/>
      <c r="U110" s="40"/>
      <c r="V110" s="40"/>
      <c r="W110" s="40"/>
    </row>
    <row r="111" spans="1:23" ht="11.25" hidden="1" customHeight="1" x14ac:dyDescent="0.25">
      <c r="A111" s="407">
        <f>'Org structure'!E107</f>
        <v>0</v>
      </c>
      <c r="B111" s="445"/>
      <c r="C111" s="739"/>
      <c r="D111" s="740"/>
      <c r="E111" s="741"/>
      <c r="F111" s="742"/>
      <c r="G111" s="741"/>
      <c r="H111" s="742"/>
      <c r="I111" s="44">
        <f t="shared" si="16"/>
        <v>0</v>
      </c>
      <c r="J111" s="330" t="str">
        <f t="shared" si="17"/>
        <v/>
      </c>
      <c r="K111" s="743"/>
      <c r="L111" s="446"/>
      <c r="M111" s="40"/>
      <c r="N111" s="40"/>
      <c r="O111" s="40"/>
      <c r="P111" s="40"/>
      <c r="Q111" s="40"/>
      <c r="R111" s="40"/>
      <c r="S111" s="40"/>
      <c r="T111" s="40"/>
      <c r="U111" s="40"/>
      <c r="V111" s="40"/>
      <c r="W111" s="40"/>
    </row>
    <row r="112" spans="1:23" ht="11.25" hidden="1" customHeight="1" x14ac:dyDescent="0.25">
      <c r="A112" s="407">
        <f>'Org structure'!E108</f>
        <v>0</v>
      </c>
      <c r="B112" s="445"/>
      <c r="C112" s="739"/>
      <c r="D112" s="740"/>
      <c r="E112" s="741"/>
      <c r="F112" s="742"/>
      <c r="G112" s="741"/>
      <c r="H112" s="742"/>
      <c r="I112" s="44">
        <f t="shared" si="16"/>
        <v>0</v>
      </c>
      <c r="J112" s="330" t="str">
        <f t="shared" si="17"/>
        <v/>
      </c>
      <c r="K112" s="743"/>
      <c r="L112" s="446"/>
      <c r="M112" s="40"/>
      <c r="N112" s="40"/>
      <c r="O112" s="40"/>
      <c r="P112" s="40"/>
      <c r="Q112" s="40"/>
      <c r="R112" s="40"/>
      <c r="S112" s="40"/>
      <c r="T112" s="40"/>
      <c r="U112" s="40"/>
      <c r="V112" s="40"/>
      <c r="W112" s="40"/>
    </row>
    <row r="113" spans="1:23" ht="11.25" hidden="1" customHeight="1" x14ac:dyDescent="0.25">
      <c r="A113" s="407">
        <f>'Org structure'!E109</f>
        <v>0</v>
      </c>
      <c r="B113" s="445"/>
      <c r="C113" s="739"/>
      <c r="D113" s="740"/>
      <c r="E113" s="741"/>
      <c r="F113" s="742"/>
      <c r="G113" s="741"/>
      <c r="H113" s="742"/>
      <c r="I113" s="44">
        <f t="shared" si="16"/>
        <v>0</v>
      </c>
      <c r="J113" s="330" t="str">
        <f t="shared" si="17"/>
        <v/>
      </c>
      <c r="K113" s="743"/>
      <c r="L113" s="446"/>
      <c r="M113" s="40"/>
      <c r="N113" s="40"/>
      <c r="O113" s="40"/>
      <c r="P113" s="40"/>
      <c r="Q113" s="40"/>
      <c r="R113" s="40"/>
      <c r="S113" s="40"/>
      <c r="T113" s="40"/>
      <c r="U113" s="40"/>
      <c r="V113" s="40"/>
      <c r="W113" s="40"/>
    </row>
    <row r="114" spans="1:23" ht="11.25" hidden="1" customHeight="1" x14ac:dyDescent="0.25">
      <c r="A114" s="407">
        <f>'Org structure'!E110</f>
        <v>0</v>
      </c>
      <c r="B114" s="445"/>
      <c r="C114" s="739"/>
      <c r="D114" s="740"/>
      <c r="E114" s="741"/>
      <c r="F114" s="742"/>
      <c r="G114" s="741"/>
      <c r="H114" s="742"/>
      <c r="I114" s="44">
        <f t="shared" si="16"/>
        <v>0</v>
      </c>
      <c r="J114" s="330" t="str">
        <f t="shared" si="17"/>
        <v/>
      </c>
      <c r="K114" s="743"/>
      <c r="L114" s="446"/>
      <c r="M114" s="40"/>
      <c r="N114" s="40"/>
      <c r="O114" s="40"/>
      <c r="P114" s="40"/>
      <c r="Q114" s="40"/>
      <c r="R114" s="40"/>
      <c r="S114" s="40"/>
      <c r="T114" s="40"/>
      <c r="U114" s="40"/>
      <c r="V114" s="40"/>
      <c r="W114" s="40"/>
    </row>
    <row r="115" spans="1:23" ht="11.25" hidden="1" customHeight="1" x14ac:dyDescent="0.25">
      <c r="A115" s="407">
        <f>'Org structure'!E111</f>
        <v>0</v>
      </c>
      <c r="B115" s="445"/>
      <c r="C115" s="739"/>
      <c r="D115" s="740"/>
      <c r="E115" s="741"/>
      <c r="F115" s="742"/>
      <c r="G115" s="741"/>
      <c r="H115" s="742"/>
      <c r="I115" s="44">
        <f t="shared" si="16"/>
        <v>0</v>
      </c>
      <c r="J115" s="330" t="str">
        <f t="shared" si="17"/>
        <v/>
      </c>
      <c r="K115" s="743"/>
      <c r="L115" s="446"/>
      <c r="M115" s="40"/>
      <c r="N115" s="40"/>
      <c r="O115" s="40"/>
      <c r="P115" s="40"/>
      <c r="Q115" s="40"/>
      <c r="R115" s="40"/>
      <c r="S115" s="40"/>
      <c r="T115" s="40"/>
      <c r="U115" s="40"/>
      <c r="V115" s="40"/>
      <c r="W115" s="40"/>
    </row>
    <row r="116" spans="1:23" ht="11.25" hidden="1" customHeight="1" x14ac:dyDescent="0.25">
      <c r="A116" s="810" t="str">
        <f>'Org structure'!A12</f>
        <v>Vote 11 - [NAME OF VOTE 11]</v>
      </c>
      <c r="B116" s="445"/>
      <c r="C116" s="503">
        <f>SUM(C117:C126)</f>
        <v>0</v>
      </c>
      <c r="D116" s="444">
        <f t="shared" ref="D116:K116" si="22">SUM(D117:D126)</f>
        <v>0</v>
      </c>
      <c r="E116" s="441">
        <f t="shared" si="22"/>
        <v>0</v>
      </c>
      <c r="F116" s="443">
        <f t="shared" si="22"/>
        <v>0</v>
      </c>
      <c r="G116" s="441">
        <f t="shared" si="22"/>
        <v>0</v>
      </c>
      <c r="H116" s="443">
        <f t="shared" si="22"/>
        <v>0</v>
      </c>
      <c r="I116" s="44">
        <f t="shared" si="16"/>
        <v>0</v>
      </c>
      <c r="J116" s="330" t="str">
        <f t="shared" si="17"/>
        <v/>
      </c>
      <c r="K116" s="442">
        <f t="shared" si="22"/>
        <v>0</v>
      </c>
      <c r="L116" s="446"/>
      <c r="M116" s="40"/>
      <c r="N116" s="40"/>
      <c r="O116" s="40"/>
      <c r="P116" s="40"/>
      <c r="Q116" s="40"/>
      <c r="R116" s="40"/>
      <c r="S116" s="40"/>
      <c r="T116" s="40"/>
      <c r="U116" s="40"/>
      <c r="V116" s="40"/>
      <c r="W116" s="40"/>
    </row>
    <row r="117" spans="1:23" ht="11.25" hidden="1" customHeight="1" x14ac:dyDescent="0.25">
      <c r="A117" s="809" t="str">
        <f>'Org structure'!E113</f>
        <v>11.1 - [Name of sub-vote]</v>
      </c>
      <c r="B117" s="445"/>
      <c r="C117" s="739"/>
      <c r="D117" s="740"/>
      <c r="E117" s="741"/>
      <c r="F117" s="742"/>
      <c r="G117" s="741"/>
      <c r="H117" s="742"/>
      <c r="I117" s="44">
        <f t="shared" si="16"/>
        <v>0</v>
      </c>
      <c r="J117" s="330" t="str">
        <f t="shared" si="17"/>
        <v/>
      </c>
      <c r="K117" s="743"/>
      <c r="L117" s="446"/>
      <c r="M117" s="40"/>
      <c r="N117" s="40"/>
      <c r="O117" s="40"/>
      <c r="P117" s="40"/>
      <c r="Q117" s="40"/>
      <c r="R117" s="40"/>
      <c r="S117" s="40"/>
      <c r="T117" s="40"/>
      <c r="U117" s="40"/>
      <c r="V117" s="40"/>
      <c r="W117" s="40"/>
    </row>
    <row r="118" spans="1:23" ht="11.25" hidden="1" customHeight="1" x14ac:dyDescent="0.25">
      <c r="A118" s="809">
        <f>'Org structure'!E114</f>
        <v>0</v>
      </c>
      <c r="B118" s="445"/>
      <c r="C118" s="739"/>
      <c r="D118" s="740"/>
      <c r="E118" s="741"/>
      <c r="F118" s="742"/>
      <c r="G118" s="741"/>
      <c r="H118" s="742"/>
      <c r="I118" s="44">
        <f t="shared" si="16"/>
        <v>0</v>
      </c>
      <c r="J118" s="330" t="str">
        <f t="shared" si="17"/>
        <v/>
      </c>
      <c r="K118" s="743"/>
      <c r="L118" s="446"/>
      <c r="M118" s="40"/>
      <c r="N118" s="40"/>
      <c r="O118" s="40"/>
      <c r="P118" s="40"/>
      <c r="Q118" s="40"/>
      <c r="R118" s="40"/>
      <c r="S118" s="40"/>
      <c r="T118" s="40"/>
      <c r="U118" s="40"/>
      <c r="V118" s="40"/>
      <c r="W118" s="40"/>
    </row>
    <row r="119" spans="1:23" ht="11.25" hidden="1" customHeight="1" x14ac:dyDescent="0.25">
      <c r="A119" s="809">
        <f>'Org structure'!E115</f>
        <v>0</v>
      </c>
      <c r="B119" s="445"/>
      <c r="C119" s="739"/>
      <c r="D119" s="740"/>
      <c r="E119" s="741"/>
      <c r="F119" s="742"/>
      <c r="G119" s="741"/>
      <c r="H119" s="742"/>
      <c r="I119" s="44">
        <f t="shared" si="16"/>
        <v>0</v>
      </c>
      <c r="J119" s="330" t="str">
        <f t="shared" si="17"/>
        <v/>
      </c>
      <c r="K119" s="743"/>
      <c r="L119" s="446"/>
      <c r="M119" s="40"/>
      <c r="N119" s="40"/>
      <c r="O119" s="40"/>
      <c r="P119" s="40"/>
      <c r="Q119" s="40"/>
      <c r="R119" s="40"/>
      <c r="S119" s="40"/>
      <c r="T119" s="40"/>
      <c r="U119" s="40"/>
      <c r="V119" s="40"/>
      <c r="W119" s="40"/>
    </row>
    <row r="120" spans="1:23" ht="11.25" hidden="1" customHeight="1" x14ac:dyDescent="0.25">
      <c r="A120" s="809">
        <f>'Org structure'!E116</f>
        <v>0</v>
      </c>
      <c r="B120" s="445"/>
      <c r="C120" s="739"/>
      <c r="D120" s="740"/>
      <c r="E120" s="741"/>
      <c r="F120" s="742"/>
      <c r="G120" s="741"/>
      <c r="H120" s="742"/>
      <c r="I120" s="44">
        <f t="shared" si="16"/>
        <v>0</v>
      </c>
      <c r="J120" s="330" t="str">
        <f t="shared" si="17"/>
        <v/>
      </c>
      <c r="K120" s="743"/>
      <c r="L120" s="446"/>
      <c r="M120" s="40"/>
      <c r="N120" s="40"/>
      <c r="O120" s="40"/>
      <c r="P120" s="40"/>
      <c r="Q120" s="40"/>
      <c r="R120" s="40"/>
      <c r="S120" s="40"/>
      <c r="T120" s="40"/>
      <c r="U120" s="40"/>
      <c r="V120" s="40"/>
      <c r="W120" s="40"/>
    </row>
    <row r="121" spans="1:23" ht="11.25" hidden="1" customHeight="1" x14ac:dyDescent="0.25">
      <c r="A121" s="809">
        <f>'Org structure'!E117</f>
        <v>0</v>
      </c>
      <c r="B121" s="445"/>
      <c r="C121" s="739"/>
      <c r="D121" s="740"/>
      <c r="E121" s="741"/>
      <c r="F121" s="742"/>
      <c r="G121" s="741"/>
      <c r="H121" s="742"/>
      <c r="I121" s="44">
        <f t="shared" si="16"/>
        <v>0</v>
      </c>
      <c r="J121" s="330" t="str">
        <f t="shared" si="17"/>
        <v/>
      </c>
      <c r="K121" s="743"/>
      <c r="L121" s="446"/>
      <c r="M121" s="40"/>
      <c r="N121" s="40"/>
      <c r="O121" s="40"/>
      <c r="P121" s="40"/>
      <c r="Q121" s="40"/>
      <c r="R121" s="40"/>
      <c r="S121" s="40"/>
      <c r="T121" s="40"/>
      <c r="U121" s="40"/>
      <c r="V121" s="40"/>
      <c r="W121" s="40"/>
    </row>
    <row r="122" spans="1:23" ht="11.25" hidden="1" customHeight="1" x14ac:dyDescent="0.25">
      <c r="A122" s="809">
        <f>'Org structure'!E118</f>
        <v>0</v>
      </c>
      <c r="B122" s="445"/>
      <c r="C122" s="739"/>
      <c r="D122" s="740"/>
      <c r="E122" s="741"/>
      <c r="F122" s="742"/>
      <c r="G122" s="741"/>
      <c r="H122" s="742"/>
      <c r="I122" s="44">
        <f t="shared" si="16"/>
        <v>0</v>
      </c>
      <c r="J122" s="330" t="str">
        <f t="shared" si="17"/>
        <v/>
      </c>
      <c r="K122" s="743"/>
      <c r="L122" s="446"/>
      <c r="M122" s="40"/>
      <c r="N122" s="40"/>
      <c r="O122" s="40"/>
      <c r="P122" s="40"/>
      <c r="Q122" s="40"/>
      <c r="R122" s="40"/>
      <c r="S122" s="40"/>
      <c r="T122" s="40"/>
      <c r="U122" s="40"/>
      <c r="V122" s="40"/>
      <c r="W122" s="40"/>
    </row>
    <row r="123" spans="1:23" ht="11.25" hidden="1" customHeight="1" x14ac:dyDescent="0.25">
      <c r="A123" s="809">
        <f>'Org structure'!E119</f>
        <v>0</v>
      </c>
      <c r="B123" s="445"/>
      <c r="C123" s="739"/>
      <c r="D123" s="740"/>
      <c r="E123" s="741"/>
      <c r="F123" s="742"/>
      <c r="G123" s="741"/>
      <c r="H123" s="742"/>
      <c r="I123" s="44">
        <f t="shared" si="16"/>
        <v>0</v>
      </c>
      <c r="J123" s="330" t="str">
        <f t="shared" si="17"/>
        <v/>
      </c>
      <c r="K123" s="743"/>
      <c r="L123" s="446"/>
      <c r="M123" s="40"/>
      <c r="N123" s="40"/>
      <c r="O123" s="40"/>
      <c r="P123" s="40"/>
      <c r="Q123" s="40"/>
      <c r="R123" s="40"/>
      <c r="S123" s="40"/>
      <c r="T123" s="40"/>
      <c r="U123" s="40"/>
      <c r="V123" s="40"/>
      <c r="W123" s="40"/>
    </row>
    <row r="124" spans="1:23" ht="11.25" hidden="1" customHeight="1" x14ac:dyDescent="0.25">
      <c r="A124" s="809">
        <f>'Org structure'!E120</f>
        <v>0</v>
      </c>
      <c r="B124" s="445"/>
      <c r="C124" s="739"/>
      <c r="D124" s="740"/>
      <c r="E124" s="741"/>
      <c r="F124" s="742"/>
      <c r="G124" s="741"/>
      <c r="H124" s="742"/>
      <c r="I124" s="44">
        <f t="shared" si="16"/>
        <v>0</v>
      </c>
      <c r="J124" s="330" t="str">
        <f t="shared" si="17"/>
        <v/>
      </c>
      <c r="K124" s="743"/>
      <c r="L124" s="446"/>
      <c r="M124" s="40"/>
      <c r="N124" s="40"/>
      <c r="O124" s="40"/>
      <c r="P124" s="40"/>
      <c r="Q124" s="40"/>
      <c r="R124" s="40"/>
      <c r="S124" s="40"/>
      <c r="T124" s="40"/>
      <c r="U124" s="40"/>
      <c r="V124" s="40"/>
      <c r="W124" s="40"/>
    </row>
    <row r="125" spans="1:23" ht="11.25" hidden="1" customHeight="1" x14ac:dyDescent="0.25">
      <c r="A125" s="809">
        <f>'Org structure'!E121</f>
        <v>0</v>
      </c>
      <c r="B125" s="445"/>
      <c r="C125" s="739"/>
      <c r="D125" s="740"/>
      <c r="E125" s="741"/>
      <c r="F125" s="742"/>
      <c r="G125" s="741"/>
      <c r="H125" s="742"/>
      <c r="I125" s="44">
        <f t="shared" si="16"/>
        <v>0</v>
      </c>
      <c r="J125" s="330" t="str">
        <f t="shared" si="17"/>
        <v/>
      </c>
      <c r="K125" s="743"/>
      <c r="L125" s="446"/>
      <c r="M125" s="40"/>
      <c r="N125" s="40"/>
      <c r="O125" s="40"/>
      <c r="P125" s="40"/>
      <c r="Q125" s="40"/>
      <c r="R125" s="40"/>
      <c r="S125" s="40"/>
      <c r="T125" s="40"/>
      <c r="U125" s="40"/>
      <c r="V125" s="40"/>
      <c r="W125" s="40"/>
    </row>
    <row r="126" spans="1:23" ht="11.25" hidden="1" customHeight="1" x14ac:dyDescent="0.25">
      <c r="A126" s="809">
        <f>'Org structure'!E122</f>
        <v>0</v>
      </c>
      <c r="B126" s="445"/>
      <c r="C126" s="739"/>
      <c r="D126" s="740"/>
      <c r="E126" s="741"/>
      <c r="F126" s="742"/>
      <c r="G126" s="741"/>
      <c r="H126" s="742"/>
      <c r="I126" s="44">
        <f t="shared" si="16"/>
        <v>0</v>
      </c>
      <c r="J126" s="330" t="str">
        <f t="shared" si="17"/>
        <v/>
      </c>
      <c r="K126" s="743"/>
      <c r="L126" s="446"/>
      <c r="M126" s="40"/>
      <c r="N126" s="40"/>
      <c r="O126" s="40"/>
      <c r="P126" s="40"/>
      <c r="Q126" s="40"/>
      <c r="R126" s="40"/>
      <c r="S126" s="40"/>
      <c r="T126" s="40"/>
      <c r="U126" s="40"/>
      <c r="V126" s="40"/>
      <c r="W126" s="40"/>
    </row>
    <row r="127" spans="1:23" ht="11.25" hidden="1" customHeight="1" x14ac:dyDescent="0.25">
      <c r="A127" s="810" t="str">
        <f>'Org structure'!A13</f>
        <v>Vote 12 - [NAME OF VOTE 12]</v>
      </c>
      <c r="B127" s="445"/>
      <c r="C127" s="503">
        <f>SUM(C128:C137)</f>
        <v>0</v>
      </c>
      <c r="D127" s="444">
        <f t="shared" ref="D127:K127" si="23">SUM(D128:D137)</f>
        <v>0</v>
      </c>
      <c r="E127" s="441">
        <f t="shared" si="23"/>
        <v>0</v>
      </c>
      <c r="F127" s="443">
        <f t="shared" si="23"/>
        <v>0</v>
      </c>
      <c r="G127" s="441">
        <f t="shared" si="23"/>
        <v>0</v>
      </c>
      <c r="H127" s="443">
        <f t="shared" si="23"/>
        <v>0</v>
      </c>
      <c r="I127" s="44">
        <f t="shared" si="16"/>
        <v>0</v>
      </c>
      <c r="J127" s="330" t="str">
        <f t="shared" si="17"/>
        <v/>
      </c>
      <c r="K127" s="442">
        <f t="shared" si="23"/>
        <v>0</v>
      </c>
      <c r="L127" s="446"/>
      <c r="M127" s="40"/>
      <c r="N127" s="40"/>
      <c r="O127" s="40"/>
      <c r="P127" s="40"/>
      <c r="Q127" s="40"/>
      <c r="R127" s="40"/>
      <c r="S127" s="40"/>
      <c r="T127" s="40"/>
      <c r="U127" s="40"/>
      <c r="V127" s="40"/>
      <c r="W127" s="40"/>
    </row>
    <row r="128" spans="1:23" ht="11.25" hidden="1" customHeight="1" x14ac:dyDescent="0.25">
      <c r="A128" s="809" t="str">
        <f>'Org structure'!E124</f>
        <v>12.1 - [Name of sub-vote]</v>
      </c>
      <c r="B128" s="445"/>
      <c r="C128" s="739"/>
      <c r="D128" s="740"/>
      <c r="E128" s="741"/>
      <c r="F128" s="742"/>
      <c r="G128" s="741"/>
      <c r="H128" s="742"/>
      <c r="I128" s="44">
        <f t="shared" si="16"/>
        <v>0</v>
      </c>
      <c r="J128" s="330" t="str">
        <f t="shared" si="17"/>
        <v/>
      </c>
      <c r="K128" s="743"/>
      <c r="L128" s="446"/>
      <c r="M128" s="40"/>
      <c r="N128" s="40"/>
      <c r="O128" s="40"/>
      <c r="P128" s="40"/>
      <c r="Q128" s="40"/>
      <c r="R128" s="40"/>
      <c r="S128" s="40"/>
      <c r="T128" s="40"/>
      <c r="U128" s="40"/>
      <c r="V128" s="40"/>
      <c r="W128" s="40"/>
    </row>
    <row r="129" spans="1:23" ht="11.25" hidden="1" customHeight="1" x14ac:dyDescent="0.25">
      <c r="A129" s="809">
        <f>'Org structure'!E125</f>
        <v>0</v>
      </c>
      <c r="B129" s="445"/>
      <c r="C129" s="739"/>
      <c r="D129" s="740"/>
      <c r="E129" s="741"/>
      <c r="F129" s="742"/>
      <c r="G129" s="741"/>
      <c r="H129" s="742"/>
      <c r="I129" s="44">
        <f t="shared" si="16"/>
        <v>0</v>
      </c>
      <c r="J129" s="330" t="str">
        <f t="shared" si="17"/>
        <v/>
      </c>
      <c r="K129" s="743"/>
      <c r="L129" s="446"/>
      <c r="M129" s="40"/>
      <c r="N129" s="40"/>
      <c r="O129" s="40"/>
      <c r="P129" s="40"/>
      <c r="Q129" s="40"/>
      <c r="R129" s="40"/>
      <c r="S129" s="40"/>
      <c r="T129" s="40"/>
      <c r="U129" s="40"/>
      <c r="V129" s="40"/>
      <c r="W129" s="40"/>
    </row>
    <row r="130" spans="1:23" ht="11.25" hidden="1" customHeight="1" x14ac:dyDescent="0.25">
      <c r="A130" s="809">
        <f>'Org structure'!E126</f>
        <v>0</v>
      </c>
      <c r="B130" s="445"/>
      <c r="C130" s="739"/>
      <c r="D130" s="740"/>
      <c r="E130" s="741"/>
      <c r="F130" s="742"/>
      <c r="G130" s="741"/>
      <c r="H130" s="742"/>
      <c r="I130" s="44">
        <f t="shared" si="16"/>
        <v>0</v>
      </c>
      <c r="J130" s="330" t="str">
        <f t="shared" si="17"/>
        <v/>
      </c>
      <c r="K130" s="743"/>
      <c r="L130" s="446"/>
      <c r="M130" s="40"/>
      <c r="N130" s="40"/>
      <c r="O130" s="40"/>
      <c r="P130" s="40"/>
      <c r="Q130" s="40"/>
      <c r="R130" s="40"/>
      <c r="S130" s="40"/>
      <c r="T130" s="40"/>
      <c r="U130" s="40"/>
      <c r="V130" s="40"/>
      <c r="W130" s="40"/>
    </row>
    <row r="131" spans="1:23" ht="11.25" hidden="1" customHeight="1" x14ac:dyDescent="0.25">
      <c r="A131" s="809">
        <f>'Org structure'!E127</f>
        <v>0</v>
      </c>
      <c r="B131" s="445"/>
      <c r="C131" s="739"/>
      <c r="D131" s="740"/>
      <c r="E131" s="741"/>
      <c r="F131" s="742"/>
      <c r="G131" s="741"/>
      <c r="H131" s="742"/>
      <c r="I131" s="44">
        <f t="shared" si="16"/>
        <v>0</v>
      </c>
      <c r="J131" s="330" t="str">
        <f t="shared" si="17"/>
        <v/>
      </c>
      <c r="K131" s="743"/>
      <c r="L131" s="446"/>
      <c r="M131" s="40"/>
      <c r="N131" s="40"/>
      <c r="O131" s="40"/>
      <c r="P131" s="40"/>
      <c r="Q131" s="40"/>
      <c r="R131" s="40"/>
      <c r="S131" s="40"/>
      <c r="T131" s="40"/>
      <c r="U131" s="40"/>
      <c r="V131" s="40"/>
      <c r="W131" s="40"/>
    </row>
    <row r="132" spans="1:23" ht="11.25" hidden="1" customHeight="1" x14ac:dyDescent="0.25">
      <c r="A132" s="809">
        <f>'Org structure'!E128</f>
        <v>0</v>
      </c>
      <c r="B132" s="445"/>
      <c r="C132" s="739"/>
      <c r="D132" s="740"/>
      <c r="E132" s="741"/>
      <c r="F132" s="742"/>
      <c r="G132" s="741"/>
      <c r="H132" s="742"/>
      <c r="I132" s="44">
        <f t="shared" si="16"/>
        <v>0</v>
      </c>
      <c r="J132" s="330" t="str">
        <f t="shared" si="17"/>
        <v/>
      </c>
      <c r="K132" s="743"/>
      <c r="L132" s="446"/>
      <c r="M132" s="40"/>
      <c r="N132" s="40"/>
      <c r="O132" s="40"/>
      <c r="P132" s="40"/>
      <c r="Q132" s="40"/>
      <c r="R132" s="40"/>
      <c r="S132" s="40"/>
      <c r="T132" s="40"/>
      <c r="U132" s="40"/>
      <c r="V132" s="40"/>
      <c r="W132" s="40"/>
    </row>
    <row r="133" spans="1:23" ht="11.25" hidden="1" customHeight="1" x14ac:dyDescent="0.25">
      <c r="A133" s="809">
        <f>'Org structure'!E129</f>
        <v>0</v>
      </c>
      <c r="B133" s="445"/>
      <c r="C133" s="739"/>
      <c r="D133" s="740"/>
      <c r="E133" s="741"/>
      <c r="F133" s="742"/>
      <c r="G133" s="741"/>
      <c r="H133" s="742"/>
      <c r="I133" s="44">
        <f t="shared" si="16"/>
        <v>0</v>
      </c>
      <c r="J133" s="330" t="str">
        <f t="shared" si="17"/>
        <v/>
      </c>
      <c r="K133" s="743"/>
      <c r="L133" s="446"/>
      <c r="M133" s="40"/>
      <c r="N133" s="40"/>
      <c r="O133" s="40"/>
      <c r="P133" s="40"/>
      <c r="Q133" s="40"/>
      <c r="R133" s="40"/>
      <c r="S133" s="40"/>
      <c r="T133" s="40"/>
      <c r="U133" s="40"/>
      <c r="V133" s="40"/>
      <c r="W133" s="40"/>
    </row>
    <row r="134" spans="1:23" ht="11.25" hidden="1" customHeight="1" x14ac:dyDescent="0.25">
      <c r="A134" s="809">
        <f>'Org structure'!E130</f>
        <v>0</v>
      </c>
      <c r="B134" s="445"/>
      <c r="C134" s="739"/>
      <c r="D134" s="740"/>
      <c r="E134" s="741"/>
      <c r="F134" s="742"/>
      <c r="G134" s="741"/>
      <c r="H134" s="742"/>
      <c r="I134" s="44">
        <f t="shared" ref="I134:I197" si="24">G134-H134</f>
        <v>0</v>
      </c>
      <c r="J134" s="330" t="str">
        <f t="shared" ref="J134:J197" si="25">IF(I134=0,"",I134/H134)</f>
        <v/>
      </c>
      <c r="K134" s="743"/>
      <c r="L134" s="446"/>
      <c r="M134" s="40"/>
      <c r="N134" s="40"/>
      <c r="O134" s="40"/>
      <c r="P134" s="40"/>
      <c r="Q134" s="40"/>
      <c r="R134" s="40"/>
      <c r="S134" s="40"/>
      <c r="T134" s="40"/>
      <c r="U134" s="40"/>
      <c r="V134" s="40"/>
      <c r="W134" s="40"/>
    </row>
    <row r="135" spans="1:23" ht="11.25" hidden="1" customHeight="1" x14ac:dyDescent="0.25">
      <c r="A135" s="809">
        <f>'Org structure'!E131</f>
        <v>0</v>
      </c>
      <c r="B135" s="445"/>
      <c r="C135" s="739"/>
      <c r="D135" s="740"/>
      <c r="E135" s="741"/>
      <c r="F135" s="742"/>
      <c r="G135" s="741"/>
      <c r="H135" s="742"/>
      <c r="I135" s="44">
        <f t="shared" si="24"/>
        <v>0</v>
      </c>
      <c r="J135" s="330" t="str">
        <f t="shared" si="25"/>
        <v/>
      </c>
      <c r="K135" s="743"/>
      <c r="L135" s="446"/>
      <c r="M135" s="40"/>
      <c r="N135" s="40"/>
      <c r="O135" s="40"/>
      <c r="P135" s="40"/>
      <c r="Q135" s="40"/>
      <c r="R135" s="40"/>
      <c r="S135" s="40"/>
      <c r="T135" s="40"/>
      <c r="U135" s="40"/>
      <c r="V135" s="40"/>
      <c r="W135" s="40"/>
    </row>
    <row r="136" spans="1:23" ht="11.25" hidden="1" customHeight="1" x14ac:dyDescent="0.25">
      <c r="A136" s="809">
        <f>'Org structure'!E132</f>
        <v>0</v>
      </c>
      <c r="B136" s="445"/>
      <c r="C136" s="739"/>
      <c r="D136" s="740"/>
      <c r="E136" s="741"/>
      <c r="F136" s="742"/>
      <c r="G136" s="741"/>
      <c r="H136" s="742"/>
      <c r="I136" s="44">
        <f t="shared" si="24"/>
        <v>0</v>
      </c>
      <c r="J136" s="330" t="str">
        <f t="shared" si="25"/>
        <v/>
      </c>
      <c r="K136" s="743"/>
      <c r="L136" s="446"/>
      <c r="M136" s="40"/>
      <c r="N136" s="40"/>
      <c r="O136" s="40"/>
      <c r="P136" s="40"/>
      <c r="Q136" s="40"/>
      <c r="R136" s="40"/>
      <c r="S136" s="40"/>
      <c r="T136" s="40"/>
      <c r="U136" s="40"/>
      <c r="V136" s="40"/>
      <c r="W136" s="40"/>
    </row>
    <row r="137" spans="1:23" ht="11.25" hidden="1" customHeight="1" x14ac:dyDescent="0.25">
      <c r="A137" s="809">
        <f>'Org structure'!E133</f>
        <v>0</v>
      </c>
      <c r="B137" s="445"/>
      <c r="C137" s="739"/>
      <c r="D137" s="740"/>
      <c r="E137" s="741"/>
      <c r="F137" s="742"/>
      <c r="G137" s="741"/>
      <c r="H137" s="742"/>
      <c r="I137" s="44">
        <f t="shared" si="24"/>
        <v>0</v>
      </c>
      <c r="J137" s="330" t="str">
        <f t="shared" si="25"/>
        <v/>
      </c>
      <c r="K137" s="743"/>
      <c r="L137" s="446"/>
      <c r="M137" s="40"/>
      <c r="N137" s="40"/>
      <c r="O137" s="40"/>
      <c r="P137" s="40"/>
      <c r="Q137" s="40"/>
      <c r="R137" s="40"/>
      <c r="S137" s="40"/>
      <c r="T137" s="40"/>
      <c r="U137" s="40"/>
      <c r="V137" s="40"/>
      <c r="W137" s="40"/>
    </row>
    <row r="138" spans="1:23" ht="11.25" hidden="1" customHeight="1" x14ac:dyDescent="0.25">
      <c r="A138" s="810" t="str">
        <f>'Org structure'!A14</f>
        <v>Vote 13 - [NAME OF VOTE 13]</v>
      </c>
      <c r="B138" s="445"/>
      <c r="C138" s="503">
        <f>SUM(C139:C148)</f>
        <v>0</v>
      </c>
      <c r="D138" s="444">
        <f t="shared" ref="D138:K138" si="26">SUM(D139:D148)</f>
        <v>0</v>
      </c>
      <c r="E138" s="441">
        <f t="shared" si="26"/>
        <v>0</v>
      </c>
      <c r="F138" s="443">
        <f t="shared" si="26"/>
        <v>0</v>
      </c>
      <c r="G138" s="441">
        <f t="shared" si="26"/>
        <v>0</v>
      </c>
      <c r="H138" s="443">
        <f t="shared" si="26"/>
        <v>0</v>
      </c>
      <c r="I138" s="44">
        <f t="shared" si="24"/>
        <v>0</v>
      </c>
      <c r="J138" s="330" t="str">
        <f t="shared" si="25"/>
        <v/>
      </c>
      <c r="K138" s="442">
        <f t="shared" si="26"/>
        <v>0</v>
      </c>
      <c r="L138" s="446"/>
      <c r="M138" s="40"/>
      <c r="N138" s="40"/>
      <c r="O138" s="40"/>
      <c r="P138" s="40"/>
      <c r="Q138" s="40"/>
      <c r="R138" s="40"/>
      <c r="S138" s="40"/>
      <c r="T138" s="40"/>
      <c r="U138" s="40"/>
      <c r="V138" s="40"/>
      <c r="W138" s="40"/>
    </row>
    <row r="139" spans="1:23" ht="11.25" hidden="1" customHeight="1" x14ac:dyDescent="0.25">
      <c r="A139" s="809" t="str">
        <f>'Org structure'!E135</f>
        <v>13.1 - [Name of sub-vote]</v>
      </c>
      <c r="B139" s="445"/>
      <c r="C139" s="739"/>
      <c r="D139" s="740"/>
      <c r="E139" s="741"/>
      <c r="F139" s="742"/>
      <c r="G139" s="741"/>
      <c r="H139" s="742"/>
      <c r="I139" s="44">
        <f t="shared" si="24"/>
        <v>0</v>
      </c>
      <c r="J139" s="330" t="str">
        <f t="shared" si="25"/>
        <v/>
      </c>
      <c r="K139" s="743"/>
      <c r="L139" s="446"/>
      <c r="M139" s="40"/>
      <c r="N139" s="40"/>
      <c r="O139" s="40"/>
      <c r="P139" s="40"/>
      <c r="Q139" s="40"/>
      <c r="R139" s="40"/>
      <c r="S139" s="40"/>
      <c r="T139" s="40"/>
      <c r="U139" s="40"/>
      <c r="V139" s="40"/>
      <c r="W139" s="40"/>
    </row>
    <row r="140" spans="1:23" ht="11.25" hidden="1" customHeight="1" x14ac:dyDescent="0.25">
      <c r="A140" s="809">
        <f>'Org structure'!E136</f>
        <v>0</v>
      </c>
      <c r="B140" s="445"/>
      <c r="C140" s="739"/>
      <c r="D140" s="740"/>
      <c r="E140" s="741"/>
      <c r="F140" s="742"/>
      <c r="G140" s="741"/>
      <c r="H140" s="742"/>
      <c r="I140" s="44">
        <f t="shared" si="24"/>
        <v>0</v>
      </c>
      <c r="J140" s="330" t="str">
        <f t="shared" si="25"/>
        <v/>
      </c>
      <c r="K140" s="743"/>
      <c r="L140" s="446"/>
      <c r="M140" s="40"/>
      <c r="N140" s="40"/>
      <c r="O140" s="40"/>
      <c r="P140" s="40"/>
      <c r="Q140" s="40"/>
      <c r="R140" s="40"/>
      <c r="S140" s="40"/>
      <c r="T140" s="40"/>
      <c r="U140" s="40"/>
      <c r="V140" s="40"/>
      <c r="W140" s="40"/>
    </row>
    <row r="141" spans="1:23" ht="11.25" hidden="1" customHeight="1" x14ac:dyDescent="0.25">
      <c r="A141" s="809">
        <f>'Org structure'!E137</f>
        <v>0</v>
      </c>
      <c r="B141" s="445"/>
      <c r="C141" s="739"/>
      <c r="D141" s="740"/>
      <c r="E141" s="741"/>
      <c r="F141" s="742"/>
      <c r="G141" s="741"/>
      <c r="H141" s="742"/>
      <c r="I141" s="44">
        <f t="shared" si="24"/>
        <v>0</v>
      </c>
      <c r="J141" s="330" t="str">
        <f t="shared" si="25"/>
        <v/>
      </c>
      <c r="K141" s="743"/>
      <c r="L141" s="446"/>
      <c r="M141" s="40"/>
      <c r="N141" s="40"/>
      <c r="O141" s="40"/>
      <c r="P141" s="40"/>
      <c r="Q141" s="40"/>
      <c r="R141" s="40"/>
      <c r="S141" s="40"/>
      <c r="T141" s="40"/>
      <c r="U141" s="40"/>
      <c r="V141" s="40"/>
      <c r="W141" s="40"/>
    </row>
    <row r="142" spans="1:23" ht="11.25" hidden="1" customHeight="1" x14ac:dyDescent="0.25">
      <c r="A142" s="809">
        <f>'Org structure'!E138</f>
        <v>0</v>
      </c>
      <c r="B142" s="445"/>
      <c r="C142" s="739"/>
      <c r="D142" s="740"/>
      <c r="E142" s="741"/>
      <c r="F142" s="742"/>
      <c r="G142" s="741"/>
      <c r="H142" s="742"/>
      <c r="I142" s="44">
        <f t="shared" si="24"/>
        <v>0</v>
      </c>
      <c r="J142" s="330" t="str">
        <f t="shared" si="25"/>
        <v/>
      </c>
      <c r="K142" s="743"/>
      <c r="L142" s="446"/>
      <c r="M142" s="40"/>
      <c r="N142" s="40"/>
      <c r="O142" s="40"/>
      <c r="P142" s="40"/>
      <c r="Q142" s="40"/>
      <c r="R142" s="40"/>
      <c r="S142" s="40"/>
      <c r="T142" s="40"/>
      <c r="U142" s="40"/>
      <c r="V142" s="40"/>
      <c r="W142" s="40"/>
    </row>
    <row r="143" spans="1:23" ht="11.25" hidden="1" customHeight="1" x14ac:dyDescent="0.25">
      <c r="A143" s="809">
        <f>'Org structure'!E139</f>
        <v>0</v>
      </c>
      <c r="B143" s="445"/>
      <c r="C143" s="739"/>
      <c r="D143" s="740"/>
      <c r="E143" s="741"/>
      <c r="F143" s="742"/>
      <c r="G143" s="741"/>
      <c r="H143" s="742"/>
      <c r="I143" s="44">
        <f t="shared" si="24"/>
        <v>0</v>
      </c>
      <c r="J143" s="330" t="str">
        <f t="shared" si="25"/>
        <v/>
      </c>
      <c r="K143" s="743"/>
      <c r="L143" s="446"/>
      <c r="M143" s="40"/>
      <c r="N143" s="40"/>
      <c r="O143" s="40"/>
      <c r="P143" s="40"/>
      <c r="Q143" s="40"/>
      <c r="R143" s="40"/>
      <c r="S143" s="40"/>
      <c r="T143" s="40"/>
      <c r="U143" s="40"/>
      <c r="V143" s="40"/>
      <c r="W143" s="40"/>
    </row>
    <row r="144" spans="1:23" ht="11.25" hidden="1" customHeight="1" x14ac:dyDescent="0.25">
      <c r="A144" s="809">
        <f>'Org structure'!E140</f>
        <v>0</v>
      </c>
      <c r="B144" s="445"/>
      <c r="C144" s="739"/>
      <c r="D144" s="740"/>
      <c r="E144" s="741"/>
      <c r="F144" s="742"/>
      <c r="G144" s="741"/>
      <c r="H144" s="742"/>
      <c r="I144" s="44">
        <f t="shared" si="24"/>
        <v>0</v>
      </c>
      <c r="J144" s="330" t="str">
        <f t="shared" si="25"/>
        <v/>
      </c>
      <c r="K144" s="743"/>
      <c r="L144" s="446"/>
      <c r="M144" s="40"/>
      <c r="N144" s="40"/>
      <c r="O144" s="40"/>
      <c r="P144" s="40"/>
      <c r="Q144" s="40"/>
      <c r="R144" s="40"/>
      <c r="S144" s="40"/>
      <c r="T144" s="40"/>
      <c r="U144" s="40"/>
      <c r="V144" s="40"/>
      <c r="W144" s="40"/>
    </row>
    <row r="145" spans="1:23" ht="11.25" hidden="1" customHeight="1" x14ac:dyDescent="0.25">
      <c r="A145" s="809">
        <f>'Org structure'!E141</f>
        <v>0</v>
      </c>
      <c r="B145" s="445"/>
      <c r="C145" s="739"/>
      <c r="D145" s="740"/>
      <c r="E145" s="741"/>
      <c r="F145" s="742"/>
      <c r="G145" s="741"/>
      <c r="H145" s="742"/>
      <c r="I145" s="44">
        <f t="shared" si="24"/>
        <v>0</v>
      </c>
      <c r="J145" s="330" t="str">
        <f t="shared" si="25"/>
        <v/>
      </c>
      <c r="K145" s="743"/>
      <c r="L145" s="446"/>
      <c r="M145" s="40"/>
      <c r="N145" s="40"/>
      <c r="O145" s="40"/>
      <c r="P145" s="40"/>
      <c r="Q145" s="40"/>
      <c r="R145" s="40"/>
      <c r="S145" s="40"/>
      <c r="T145" s="40"/>
      <c r="U145" s="40"/>
      <c r="V145" s="40"/>
      <c r="W145" s="40"/>
    </row>
    <row r="146" spans="1:23" ht="11.25" hidden="1" customHeight="1" x14ac:dyDescent="0.25">
      <c r="A146" s="809">
        <f>'Org structure'!E142</f>
        <v>0</v>
      </c>
      <c r="B146" s="445"/>
      <c r="C146" s="739"/>
      <c r="D146" s="740"/>
      <c r="E146" s="741"/>
      <c r="F146" s="742"/>
      <c r="G146" s="741"/>
      <c r="H146" s="742"/>
      <c r="I146" s="44">
        <f t="shared" si="24"/>
        <v>0</v>
      </c>
      <c r="J146" s="330" t="str">
        <f t="shared" si="25"/>
        <v/>
      </c>
      <c r="K146" s="743"/>
      <c r="L146" s="446"/>
      <c r="M146" s="40"/>
      <c r="N146" s="40"/>
      <c r="O146" s="40"/>
      <c r="P146" s="40"/>
      <c r="Q146" s="40"/>
      <c r="R146" s="40"/>
      <c r="S146" s="40"/>
      <c r="T146" s="40"/>
      <c r="U146" s="40"/>
      <c r="V146" s="40"/>
      <c r="W146" s="40"/>
    </row>
    <row r="147" spans="1:23" ht="11.25" hidden="1" customHeight="1" x14ac:dyDescent="0.25">
      <c r="A147" s="809">
        <f>'Org structure'!E143</f>
        <v>0</v>
      </c>
      <c r="B147" s="445"/>
      <c r="C147" s="739"/>
      <c r="D147" s="740"/>
      <c r="E147" s="741"/>
      <c r="F147" s="742"/>
      <c r="G147" s="741"/>
      <c r="H147" s="742"/>
      <c r="I147" s="44">
        <f t="shared" si="24"/>
        <v>0</v>
      </c>
      <c r="J147" s="330" t="str">
        <f t="shared" si="25"/>
        <v/>
      </c>
      <c r="K147" s="743"/>
      <c r="L147" s="446"/>
      <c r="M147" s="40"/>
      <c r="N147" s="40"/>
      <c r="O147" s="40"/>
      <c r="P147" s="40"/>
      <c r="Q147" s="40"/>
      <c r="R147" s="40"/>
      <c r="S147" s="40"/>
      <c r="T147" s="40"/>
      <c r="U147" s="40"/>
      <c r="V147" s="40"/>
      <c r="W147" s="40"/>
    </row>
    <row r="148" spans="1:23" ht="11.25" hidden="1" customHeight="1" x14ac:dyDescent="0.25">
      <c r="A148" s="809">
        <f>'Org structure'!E144</f>
        <v>0</v>
      </c>
      <c r="B148" s="445"/>
      <c r="C148" s="739"/>
      <c r="D148" s="740"/>
      <c r="E148" s="741"/>
      <c r="F148" s="742"/>
      <c r="G148" s="741"/>
      <c r="H148" s="742"/>
      <c r="I148" s="44">
        <f t="shared" si="24"/>
        <v>0</v>
      </c>
      <c r="J148" s="330" t="str">
        <f t="shared" si="25"/>
        <v/>
      </c>
      <c r="K148" s="743"/>
      <c r="L148" s="446"/>
      <c r="M148" s="40"/>
      <c r="N148" s="40"/>
      <c r="O148" s="40"/>
      <c r="P148" s="40"/>
      <c r="Q148" s="40"/>
      <c r="R148" s="40"/>
      <c r="S148" s="40"/>
      <c r="T148" s="40"/>
      <c r="U148" s="40"/>
      <c r="V148" s="40"/>
      <c r="W148" s="40"/>
    </row>
    <row r="149" spans="1:23" ht="11.25" hidden="1" customHeight="1" x14ac:dyDescent="0.25">
      <c r="A149" s="810" t="str">
        <f>'Org structure'!A15</f>
        <v>Vote 14 - [NAME OF VOTE 14]</v>
      </c>
      <c r="B149" s="445"/>
      <c r="C149" s="503">
        <f>SUM(C150:C159)</f>
        <v>0</v>
      </c>
      <c r="D149" s="444">
        <f t="shared" ref="D149:K149" si="27">SUM(D150:D159)</f>
        <v>0</v>
      </c>
      <c r="E149" s="441">
        <f t="shared" si="27"/>
        <v>0</v>
      </c>
      <c r="F149" s="443">
        <f t="shared" si="27"/>
        <v>0</v>
      </c>
      <c r="G149" s="441">
        <f t="shared" si="27"/>
        <v>0</v>
      </c>
      <c r="H149" s="443">
        <f t="shared" si="27"/>
        <v>0</v>
      </c>
      <c r="I149" s="44">
        <f t="shared" si="24"/>
        <v>0</v>
      </c>
      <c r="J149" s="330" t="str">
        <f t="shared" si="25"/>
        <v/>
      </c>
      <c r="K149" s="442">
        <f t="shared" si="27"/>
        <v>0</v>
      </c>
      <c r="L149" s="446"/>
      <c r="M149" s="40"/>
      <c r="N149" s="40"/>
      <c r="O149" s="40"/>
      <c r="P149" s="40"/>
      <c r="Q149" s="40"/>
      <c r="R149" s="40"/>
      <c r="S149" s="40"/>
      <c r="T149" s="40"/>
      <c r="U149" s="40"/>
      <c r="V149" s="40"/>
      <c r="W149" s="40"/>
    </row>
    <row r="150" spans="1:23" ht="11.25" hidden="1" customHeight="1" x14ac:dyDescent="0.25">
      <c r="A150" s="809" t="str">
        <f>'Org structure'!E146</f>
        <v>14.1 - [Name of sub-vote]</v>
      </c>
      <c r="B150" s="445"/>
      <c r="C150" s="739"/>
      <c r="D150" s="740"/>
      <c r="E150" s="741"/>
      <c r="F150" s="742"/>
      <c r="G150" s="741"/>
      <c r="H150" s="742"/>
      <c r="I150" s="44">
        <f t="shared" si="24"/>
        <v>0</v>
      </c>
      <c r="J150" s="330" t="str">
        <f t="shared" si="25"/>
        <v/>
      </c>
      <c r="K150" s="743"/>
      <c r="L150" s="446"/>
      <c r="M150" s="40"/>
      <c r="N150" s="40"/>
      <c r="O150" s="40"/>
      <c r="P150" s="40"/>
      <c r="Q150" s="40"/>
      <c r="R150" s="40"/>
      <c r="S150" s="40"/>
      <c r="T150" s="40"/>
      <c r="U150" s="40"/>
      <c r="V150" s="40"/>
      <c r="W150" s="40"/>
    </row>
    <row r="151" spans="1:23" ht="11.25" hidden="1" customHeight="1" x14ac:dyDescent="0.25">
      <c r="A151" s="809">
        <f>'Org structure'!E147</f>
        <v>0</v>
      </c>
      <c r="B151" s="445"/>
      <c r="C151" s="739"/>
      <c r="D151" s="740"/>
      <c r="E151" s="741"/>
      <c r="F151" s="742"/>
      <c r="G151" s="741"/>
      <c r="H151" s="742"/>
      <c r="I151" s="44">
        <f t="shared" si="24"/>
        <v>0</v>
      </c>
      <c r="J151" s="330" t="str">
        <f t="shared" si="25"/>
        <v/>
      </c>
      <c r="K151" s="743"/>
      <c r="L151" s="446"/>
      <c r="M151" s="40"/>
      <c r="N151" s="40"/>
      <c r="O151" s="40"/>
      <c r="P151" s="40"/>
      <c r="Q151" s="40"/>
      <c r="R151" s="40"/>
      <c r="S151" s="40"/>
      <c r="T151" s="40"/>
      <c r="U151" s="40"/>
      <c r="V151" s="40"/>
      <c r="W151" s="40"/>
    </row>
    <row r="152" spans="1:23" ht="11.25" hidden="1" customHeight="1" x14ac:dyDescent="0.25">
      <c r="A152" s="809">
        <f>'Org structure'!E148</f>
        <v>0</v>
      </c>
      <c r="B152" s="445"/>
      <c r="C152" s="739"/>
      <c r="D152" s="740"/>
      <c r="E152" s="741"/>
      <c r="F152" s="742"/>
      <c r="G152" s="741"/>
      <c r="H152" s="742"/>
      <c r="I152" s="44">
        <f t="shared" si="24"/>
        <v>0</v>
      </c>
      <c r="J152" s="330" t="str">
        <f t="shared" si="25"/>
        <v/>
      </c>
      <c r="K152" s="743"/>
      <c r="L152" s="446"/>
      <c r="M152" s="40"/>
      <c r="N152" s="40"/>
      <c r="O152" s="40"/>
      <c r="P152" s="40"/>
      <c r="Q152" s="40"/>
      <c r="R152" s="40"/>
      <c r="S152" s="40"/>
      <c r="T152" s="40"/>
      <c r="U152" s="40"/>
      <c r="V152" s="40"/>
      <c r="W152" s="40"/>
    </row>
    <row r="153" spans="1:23" ht="11.25" hidden="1" customHeight="1" x14ac:dyDescent="0.25">
      <c r="A153" s="809">
        <f>'Org structure'!E149</f>
        <v>0</v>
      </c>
      <c r="B153" s="445"/>
      <c r="C153" s="739"/>
      <c r="D153" s="740"/>
      <c r="E153" s="741"/>
      <c r="F153" s="742"/>
      <c r="G153" s="741"/>
      <c r="H153" s="742"/>
      <c r="I153" s="44">
        <f t="shared" si="24"/>
        <v>0</v>
      </c>
      <c r="J153" s="330" t="str">
        <f t="shared" si="25"/>
        <v/>
      </c>
      <c r="K153" s="743"/>
      <c r="L153" s="446"/>
      <c r="M153" s="40"/>
      <c r="N153" s="40"/>
      <c r="O153" s="40"/>
      <c r="P153" s="40"/>
      <c r="Q153" s="40"/>
      <c r="R153" s="40"/>
      <c r="S153" s="40"/>
      <c r="T153" s="40"/>
      <c r="U153" s="40"/>
      <c r="V153" s="40"/>
      <c r="W153" s="40"/>
    </row>
    <row r="154" spans="1:23" ht="11.25" hidden="1" customHeight="1" x14ac:dyDescent="0.25">
      <c r="A154" s="809">
        <f>'Org structure'!E150</f>
        <v>0</v>
      </c>
      <c r="B154" s="445"/>
      <c r="C154" s="739"/>
      <c r="D154" s="740"/>
      <c r="E154" s="741"/>
      <c r="F154" s="742"/>
      <c r="G154" s="741"/>
      <c r="H154" s="742"/>
      <c r="I154" s="44">
        <f t="shared" si="24"/>
        <v>0</v>
      </c>
      <c r="J154" s="330" t="str">
        <f t="shared" si="25"/>
        <v/>
      </c>
      <c r="K154" s="743"/>
      <c r="L154" s="446"/>
      <c r="M154" s="40"/>
      <c r="N154" s="40"/>
      <c r="O154" s="40"/>
      <c r="P154" s="40"/>
      <c r="Q154" s="40"/>
      <c r="R154" s="40"/>
      <c r="S154" s="40"/>
      <c r="T154" s="40"/>
      <c r="U154" s="40"/>
      <c r="V154" s="40"/>
      <c r="W154" s="40"/>
    </row>
    <row r="155" spans="1:23" ht="11.25" hidden="1" customHeight="1" x14ac:dyDescent="0.25">
      <c r="A155" s="809">
        <f>'Org structure'!E151</f>
        <v>0</v>
      </c>
      <c r="B155" s="445"/>
      <c r="C155" s="739"/>
      <c r="D155" s="740"/>
      <c r="E155" s="741"/>
      <c r="F155" s="742"/>
      <c r="G155" s="741"/>
      <c r="H155" s="742"/>
      <c r="I155" s="44">
        <f t="shared" si="24"/>
        <v>0</v>
      </c>
      <c r="J155" s="330" t="str">
        <f t="shared" si="25"/>
        <v/>
      </c>
      <c r="K155" s="743"/>
      <c r="L155" s="446"/>
      <c r="M155" s="40"/>
      <c r="N155" s="40"/>
      <c r="O155" s="40"/>
      <c r="P155" s="40"/>
      <c r="Q155" s="40"/>
      <c r="R155" s="40"/>
      <c r="S155" s="40"/>
      <c r="T155" s="40"/>
      <c r="U155" s="40"/>
      <c r="V155" s="40"/>
      <c r="W155" s="40"/>
    </row>
    <row r="156" spans="1:23" ht="11.25" hidden="1" customHeight="1" x14ac:dyDescent="0.25">
      <c r="A156" s="809">
        <f>'Org structure'!E152</f>
        <v>0</v>
      </c>
      <c r="B156" s="445"/>
      <c r="C156" s="739"/>
      <c r="D156" s="740"/>
      <c r="E156" s="741"/>
      <c r="F156" s="742"/>
      <c r="G156" s="741"/>
      <c r="H156" s="742"/>
      <c r="I156" s="44">
        <f t="shared" si="24"/>
        <v>0</v>
      </c>
      <c r="J156" s="330" t="str">
        <f t="shared" si="25"/>
        <v/>
      </c>
      <c r="K156" s="743"/>
      <c r="L156" s="446"/>
      <c r="M156" s="40"/>
      <c r="N156" s="40"/>
      <c r="O156" s="40"/>
      <c r="P156" s="40"/>
      <c r="Q156" s="40"/>
      <c r="R156" s="40"/>
      <c r="S156" s="40"/>
      <c r="T156" s="40"/>
      <c r="U156" s="40"/>
      <c r="V156" s="40"/>
      <c r="W156" s="40"/>
    </row>
    <row r="157" spans="1:23" ht="11.25" hidden="1" customHeight="1" x14ac:dyDescent="0.25">
      <c r="A157" s="809">
        <f>'Org structure'!E153</f>
        <v>0</v>
      </c>
      <c r="B157" s="445"/>
      <c r="C157" s="739"/>
      <c r="D157" s="740"/>
      <c r="E157" s="741"/>
      <c r="F157" s="742"/>
      <c r="G157" s="741"/>
      <c r="H157" s="742"/>
      <c r="I157" s="44">
        <f t="shared" si="24"/>
        <v>0</v>
      </c>
      <c r="J157" s="330" t="str">
        <f t="shared" si="25"/>
        <v/>
      </c>
      <c r="K157" s="743"/>
      <c r="L157" s="446"/>
      <c r="M157" s="40"/>
      <c r="N157" s="40"/>
      <c r="O157" s="40"/>
      <c r="P157" s="40"/>
      <c r="Q157" s="40"/>
      <c r="R157" s="40"/>
      <c r="S157" s="40"/>
      <c r="T157" s="40"/>
      <c r="U157" s="40"/>
      <c r="V157" s="40"/>
      <c r="W157" s="40"/>
    </row>
    <row r="158" spans="1:23" ht="11.25" hidden="1" customHeight="1" x14ac:dyDescent="0.25">
      <c r="A158" s="809">
        <f>'Org structure'!E154</f>
        <v>0</v>
      </c>
      <c r="B158" s="445"/>
      <c r="C158" s="739"/>
      <c r="D158" s="740"/>
      <c r="E158" s="741"/>
      <c r="F158" s="742"/>
      <c r="G158" s="741"/>
      <c r="H158" s="742"/>
      <c r="I158" s="44">
        <f t="shared" si="24"/>
        <v>0</v>
      </c>
      <c r="J158" s="330" t="str">
        <f t="shared" si="25"/>
        <v/>
      </c>
      <c r="K158" s="743"/>
      <c r="L158" s="446"/>
      <c r="M158" s="40"/>
      <c r="N158" s="40"/>
      <c r="O158" s="40"/>
      <c r="P158" s="40"/>
      <c r="Q158" s="40"/>
      <c r="R158" s="40"/>
      <c r="S158" s="40"/>
      <c r="T158" s="40"/>
      <c r="U158" s="40"/>
      <c r="V158" s="40"/>
      <c r="W158" s="40"/>
    </row>
    <row r="159" spans="1:23" ht="11.25" hidden="1" customHeight="1" x14ac:dyDescent="0.25">
      <c r="A159" s="809">
        <f>'Org structure'!E155</f>
        <v>0</v>
      </c>
      <c r="B159" s="445"/>
      <c r="C159" s="739"/>
      <c r="D159" s="740"/>
      <c r="E159" s="741"/>
      <c r="F159" s="742"/>
      <c r="G159" s="741"/>
      <c r="H159" s="742"/>
      <c r="I159" s="44">
        <f t="shared" si="24"/>
        <v>0</v>
      </c>
      <c r="J159" s="330" t="str">
        <f t="shared" si="25"/>
        <v/>
      </c>
      <c r="K159" s="743"/>
      <c r="L159" s="446"/>
      <c r="M159" s="40"/>
      <c r="N159" s="40"/>
      <c r="O159" s="40"/>
      <c r="P159" s="40"/>
      <c r="Q159" s="40"/>
      <c r="R159" s="40"/>
      <c r="S159" s="40"/>
      <c r="T159" s="40"/>
      <c r="U159" s="40"/>
      <c r="V159" s="40"/>
      <c r="W159" s="40"/>
    </row>
    <row r="160" spans="1:23" ht="11.25" hidden="1" customHeight="1" x14ac:dyDescent="0.25">
      <c r="A160" s="810" t="str">
        <f>'Org structure'!A16</f>
        <v>Vote 15 - [NAME OF VOTE 15]</v>
      </c>
      <c r="B160" s="445"/>
      <c r="C160" s="503">
        <f>SUM(C161:C170)</f>
        <v>0</v>
      </c>
      <c r="D160" s="444">
        <f t="shared" ref="D160:K160" si="28">SUM(D161:D170)</f>
        <v>0</v>
      </c>
      <c r="E160" s="441">
        <f t="shared" si="28"/>
        <v>0</v>
      </c>
      <c r="F160" s="443">
        <f t="shared" si="28"/>
        <v>0</v>
      </c>
      <c r="G160" s="441">
        <f t="shared" si="28"/>
        <v>0</v>
      </c>
      <c r="H160" s="443">
        <f t="shared" si="28"/>
        <v>0</v>
      </c>
      <c r="I160" s="44">
        <f t="shared" si="24"/>
        <v>0</v>
      </c>
      <c r="J160" s="330" t="str">
        <f t="shared" si="25"/>
        <v/>
      </c>
      <c r="K160" s="442">
        <f t="shared" si="28"/>
        <v>0</v>
      </c>
      <c r="L160" s="446"/>
      <c r="M160" s="40"/>
      <c r="N160" s="40"/>
      <c r="O160" s="40"/>
      <c r="P160" s="40"/>
      <c r="Q160" s="40"/>
      <c r="R160" s="40"/>
      <c r="S160" s="40"/>
      <c r="T160" s="40"/>
      <c r="U160" s="40"/>
      <c r="V160" s="40"/>
      <c r="W160" s="40"/>
    </row>
    <row r="161" spans="1:23" ht="11.25" hidden="1" customHeight="1" x14ac:dyDescent="0.25">
      <c r="A161" s="809" t="str">
        <f>'Org structure'!E157</f>
        <v>15.1 - [Name of sub-vote]</v>
      </c>
      <c r="B161" s="445"/>
      <c r="C161" s="739"/>
      <c r="D161" s="740"/>
      <c r="E161" s="741"/>
      <c r="F161" s="742"/>
      <c r="G161" s="741"/>
      <c r="H161" s="742"/>
      <c r="I161" s="44">
        <f t="shared" si="24"/>
        <v>0</v>
      </c>
      <c r="J161" s="330" t="str">
        <f t="shared" si="25"/>
        <v/>
      </c>
      <c r="K161" s="743"/>
      <c r="L161" s="446"/>
      <c r="M161" s="40"/>
      <c r="N161" s="40"/>
      <c r="O161" s="40"/>
      <c r="P161" s="40"/>
      <c r="Q161" s="40"/>
      <c r="R161" s="40"/>
      <c r="S161" s="40"/>
      <c r="T161" s="40"/>
      <c r="U161" s="40"/>
      <c r="V161" s="40"/>
      <c r="W161" s="40"/>
    </row>
    <row r="162" spans="1:23" ht="11.25" hidden="1" customHeight="1" x14ac:dyDescent="0.25">
      <c r="A162" s="809">
        <f>'Org structure'!E158</f>
        <v>0</v>
      </c>
      <c r="B162" s="445"/>
      <c r="C162" s="739"/>
      <c r="D162" s="740"/>
      <c r="E162" s="741"/>
      <c r="F162" s="742"/>
      <c r="G162" s="741"/>
      <c r="H162" s="742"/>
      <c r="I162" s="44">
        <f t="shared" si="24"/>
        <v>0</v>
      </c>
      <c r="J162" s="330" t="str">
        <f t="shared" si="25"/>
        <v/>
      </c>
      <c r="K162" s="743"/>
      <c r="L162" s="446"/>
      <c r="M162" s="40"/>
      <c r="N162" s="40"/>
      <c r="O162" s="40"/>
      <c r="P162" s="40"/>
      <c r="Q162" s="40"/>
      <c r="R162" s="40"/>
      <c r="S162" s="40"/>
      <c r="T162" s="40"/>
      <c r="U162" s="40"/>
      <c r="V162" s="40"/>
      <c r="W162" s="40"/>
    </row>
    <row r="163" spans="1:23" ht="11.25" hidden="1" customHeight="1" x14ac:dyDescent="0.25">
      <c r="A163" s="809">
        <f>'Org structure'!E159</f>
        <v>0</v>
      </c>
      <c r="B163" s="445"/>
      <c r="C163" s="739"/>
      <c r="D163" s="740"/>
      <c r="E163" s="741"/>
      <c r="F163" s="742"/>
      <c r="G163" s="741"/>
      <c r="H163" s="742"/>
      <c r="I163" s="44">
        <f t="shared" si="24"/>
        <v>0</v>
      </c>
      <c r="J163" s="330" t="str">
        <f t="shared" si="25"/>
        <v/>
      </c>
      <c r="K163" s="743"/>
      <c r="L163" s="446"/>
      <c r="M163" s="40"/>
      <c r="N163" s="40"/>
      <c r="O163" s="40"/>
      <c r="P163" s="40"/>
      <c r="Q163" s="40"/>
      <c r="R163" s="40"/>
      <c r="S163" s="40"/>
      <c r="T163" s="40"/>
      <c r="U163" s="40"/>
      <c r="V163" s="40"/>
      <c r="W163" s="40"/>
    </row>
    <row r="164" spans="1:23" ht="11.25" hidden="1" customHeight="1" x14ac:dyDescent="0.25">
      <c r="A164" s="809">
        <f>'Org structure'!E160</f>
        <v>0</v>
      </c>
      <c r="B164" s="445"/>
      <c r="C164" s="739"/>
      <c r="D164" s="740"/>
      <c r="E164" s="741"/>
      <c r="F164" s="742"/>
      <c r="G164" s="741"/>
      <c r="H164" s="742"/>
      <c r="I164" s="44">
        <f t="shared" si="24"/>
        <v>0</v>
      </c>
      <c r="J164" s="330" t="str">
        <f t="shared" si="25"/>
        <v/>
      </c>
      <c r="K164" s="743"/>
      <c r="L164" s="446"/>
      <c r="M164" s="40"/>
      <c r="N164" s="40"/>
      <c r="O164" s="40"/>
      <c r="P164" s="40"/>
      <c r="Q164" s="40"/>
      <c r="R164" s="40"/>
      <c r="S164" s="40"/>
      <c r="T164" s="40"/>
      <c r="U164" s="40"/>
      <c r="V164" s="40"/>
      <c r="W164" s="40"/>
    </row>
    <row r="165" spans="1:23" ht="11.25" hidden="1" customHeight="1" x14ac:dyDescent="0.25">
      <c r="A165" s="809">
        <f>'Org structure'!E161</f>
        <v>0</v>
      </c>
      <c r="B165" s="445"/>
      <c r="C165" s="739"/>
      <c r="D165" s="740"/>
      <c r="E165" s="741"/>
      <c r="F165" s="742"/>
      <c r="G165" s="741"/>
      <c r="H165" s="742"/>
      <c r="I165" s="44">
        <f t="shared" si="24"/>
        <v>0</v>
      </c>
      <c r="J165" s="330" t="str">
        <f t="shared" si="25"/>
        <v/>
      </c>
      <c r="K165" s="743"/>
      <c r="L165" s="446"/>
      <c r="M165" s="40"/>
      <c r="N165" s="40"/>
      <c r="O165" s="40"/>
      <c r="P165" s="40"/>
      <c r="Q165" s="40"/>
      <c r="R165" s="40"/>
      <c r="S165" s="40"/>
      <c r="T165" s="40"/>
      <c r="U165" s="40"/>
      <c r="V165" s="40"/>
      <c r="W165" s="40"/>
    </row>
    <row r="166" spans="1:23" ht="11.25" hidden="1" customHeight="1" x14ac:dyDescent="0.25">
      <c r="A166" s="809">
        <f>'Org structure'!E162</f>
        <v>0</v>
      </c>
      <c r="B166" s="445"/>
      <c r="C166" s="739"/>
      <c r="D166" s="740"/>
      <c r="E166" s="741"/>
      <c r="F166" s="742"/>
      <c r="G166" s="741"/>
      <c r="H166" s="742"/>
      <c r="I166" s="44">
        <f t="shared" si="24"/>
        <v>0</v>
      </c>
      <c r="J166" s="330" t="str">
        <f t="shared" si="25"/>
        <v/>
      </c>
      <c r="K166" s="743"/>
      <c r="L166" s="446"/>
      <c r="M166" s="40"/>
      <c r="N166" s="40"/>
      <c r="O166" s="40"/>
      <c r="P166" s="40"/>
      <c r="Q166" s="40"/>
      <c r="R166" s="40"/>
      <c r="S166" s="40"/>
      <c r="T166" s="40"/>
      <c r="U166" s="40"/>
      <c r="V166" s="40"/>
      <c r="W166" s="40"/>
    </row>
    <row r="167" spans="1:23" ht="11.25" hidden="1" customHeight="1" x14ac:dyDescent="0.25">
      <c r="A167" s="809">
        <f>'Org structure'!E163</f>
        <v>0</v>
      </c>
      <c r="B167" s="445"/>
      <c r="C167" s="739"/>
      <c r="D167" s="740"/>
      <c r="E167" s="741"/>
      <c r="F167" s="742"/>
      <c r="G167" s="741"/>
      <c r="H167" s="742"/>
      <c r="I167" s="44">
        <f t="shared" si="24"/>
        <v>0</v>
      </c>
      <c r="J167" s="330" t="str">
        <f t="shared" si="25"/>
        <v/>
      </c>
      <c r="K167" s="743"/>
      <c r="L167" s="446"/>
      <c r="M167" s="40"/>
      <c r="N167" s="40"/>
      <c r="O167" s="40"/>
      <c r="P167" s="40"/>
      <c r="Q167" s="40"/>
      <c r="R167" s="40"/>
      <c r="S167" s="40"/>
      <c r="T167" s="40"/>
      <c r="U167" s="40"/>
      <c r="V167" s="40"/>
      <c r="W167" s="40"/>
    </row>
    <row r="168" spans="1:23" ht="11.25" hidden="1" customHeight="1" x14ac:dyDescent="0.25">
      <c r="A168" s="809">
        <f>'Org structure'!E164</f>
        <v>0</v>
      </c>
      <c r="B168" s="445"/>
      <c r="C168" s="739"/>
      <c r="D168" s="740"/>
      <c r="E168" s="741"/>
      <c r="F168" s="742"/>
      <c r="G168" s="741"/>
      <c r="H168" s="742"/>
      <c r="I168" s="44">
        <f t="shared" si="24"/>
        <v>0</v>
      </c>
      <c r="J168" s="330" t="str">
        <f t="shared" si="25"/>
        <v/>
      </c>
      <c r="K168" s="743"/>
      <c r="L168" s="446"/>
      <c r="M168" s="40"/>
      <c r="N168" s="40"/>
      <c r="O168" s="40"/>
      <c r="P168" s="40"/>
      <c r="Q168" s="40"/>
      <c r="R168" s="40"/>
      <c r="S168" s="40"/>
      <c r="T168" s="40"/>
      <c r="U168" s="40"/>
      <c r="V168" s="40"/>
      <c r="W168" s="40"/>
    </row>
    <row r="169" spans="1:23" ht="11.25" hidden="1" customHeight="1" x14ac:dyDescent="0.25">
      <c r="A169" s="809">
        <f>'Org structure'!E165</f>
        <v>0</v>
      </c>
      <c r="B169" s="445"/>
      <c r="C169" s="739"/>
      <c r="D169" s="740"/>
      <c r="E169" s="741"/>
      <c r="F169" s="742"/>
      <c r="G169" s="741"/>
      <c r="H169" s="742"/>
      <c r="I169" s="44">
        <f t="shared" si="24"/>
        <v>0</v>
      </c>
      <c r="J169" s="330" t="str">
        <f t="shared" si="25"/>
        <v/>
      </c>
      <c r="K169" s="743"/>
      <c r="L169" s="446"/>
      <c r="M169" s="40"/>
      <c r="N169" s="40"/>
      <c r="O169" s="40"/>
      <c r="P169" s="40"/>
      <c r="Q169" s="40"/>
      <c r="R169" s="40"/>
      <c r="S169" s="40"/>
      <c r="T169" s="40"/>
      <c r="U169" s="40"/>
      <c r="V169" s="40"/>
      <c r="W169" s="40"/>
    </row>
    <row r="170" spans="1:23" ht="11.25" hidden="1" customHeight="1" x14ac:dyDescent="0.25">
      <c r="A170" s="809">
        <f>'Org structure'!E166</f>
        <v>0</v>
      </c>
      <c r="B170" s="445"/>
      <c r="C170" s="739"/>
      <c r="D170" s="740"/>
      <c r="E170" s="741"/>
      <c r="F170" s="742"/>
      <c r="G170" s="741"/>
      <c r="H170" s="742"/>
      <c r="I170" s="44">
        <f t="shared" si="24"/>
        <v>0</v>
      </c>
      <c r="J170" s="330" t="str">
        <f t="shared" si="25"/>
        <v/>
      </c>
      <c r="K170" s="743"/>
      <c r="L170" s="452">
        <f t="shared" ref="L170:W170" si="29">SUM(L78:L81)</f>
        <v>0</v>
      </c>
      <c r="M170" s="453">
        <f t="shared" si="29"/>
        <v>0</v>
      </c>
      <c r="N170" s="453">
        <f t="shared" si="29"/>
        <v>0</v>
      </c>
      <c r="O170" s="453">
        <f t="shared" si="29"/>
        <v>0</v>
      </c>
      <c r="P170" s="453">
        <f t="shared" si="29"/>
        <v>0</v>
      </c>
      <c r="Q170" s="453">
        <f t="shared" si="29"/>
        <v>0</v>
      </c>
      <c r="R170" s="453">
        <f t="shared" si="29"/>
        <v>0</v>
      </c>
      <c r="S170" s="453">
        <f t="shared" si="29"/>
        <v>0</v>
      </c>
      <c r="T170" s="453">
        <f t="shared" si="29"/>
        <v>0</v>
      </c>
      <c r="U170" s="453">
        <f t="shared" si="29"/>
        <v>0</v>
      </c>
      <c r="V170" s="453">
        <f t="shared" si="29"/>
        <v>0</v>
      </c>
      <c r="W170" s="453">
        <f t="shared" si="29"/>
        <v>0</v>
      </c>
    </row>
    <row r="171" spans="1:23" ht="12.75" customHeight="1" x14ac:dyDescent="0.25">
      <c r="A171" s="447" t="s">
        <v>635</v>
      </c>
      <c r="B171" s="415">
        <v>2</v>
      </c>
      <c r="C171" s="504">
        <f>C6+C17+C28+C39+C50+C61+C72+C83+C94+C105+C116+C127+C138+C149+C160</f>
        <v>0</v>
      </c>
      <c r="D171" s="451">
        <f t="shared" ref="D171:K171" si="30">D6+D17+D28+D39+D50+D61+D72+D83+D94+D105+D116+D127+D138+D149+D160</f>
        <v>6443701838.8720646</v>
      </c>
      <c r="E171" s="448">
        <f t="shared" si="30"/>
        <v>6532699838.8720646</v>
      </c>
      <c r="F171" s="450">
        <f t="shared" si="30"/>
        <v>733498751.58999991</v>
      </c>
      <c r="G171" s="448">
        <f t="shared" si="30"/>
        <v>3307890687.9899998</v>
      </c>
      <c r="H171" s="450">
        <f t="shared" si="30"/>
        <v>3266349919.4360323</v>
      </c>
      <c r="I171" s="514">
        <f t="shared" si="24"/>
        <v>41540768.553967476</v>
      </c>
      <c r="J171" s="515">
        <f t="shared" si="25"/>
        <v>1.2717794963357723E-2</v>
      </c>
      <c r="K171" s="449">
        <f t="shared" si="30"/>
        <v>6532699838.8720646</v>
      </c>
      <c r="L171" s="446"/>
      <c r="M171" s="40"/>
      <c r="N171" s="40"/>
      <c r="O171" s="40"/>
      <c r="P171" s="40"/>
      <c r="Q171" s="40"/>
      <c r="R171" s="40"/>
      <c r="S171" s="40"/>
      <c r="T171" s="40"/>
      <c r="U171" s="40"/>
      <c r="V171" s="40"/>
      <c r="W171" s="40"/>
    </row>
    <row r="172" spans="1:23" ht="3" customHeight="1" x14ac:dyDescent="0.25">
      <c r="A172" s="454"/>
      <c r="B172" s="455"/>
      <c r="C172" s="505"/>
      <c r="D172" s="459"/>
      <c r="E172" s="456"/>
      <c r="F172" s="458"/>
      <c r="G172" s="456"/>
      <c r="H172" s="458"/>
      <c r="I172" s="115">
        <f t="shared" si="24"/>
        <v>0</v>
      </c>
      <c r="J172" s="133" t="str">
        <f t="shared" si="25"/>
        <v/>
      </c>
      <c r="K172" s="457"/>
      <c r="L172" s="446"/>
      <c r="M172" s="40"/>
      <c r="N172" s="40"/>
      <c r="O172" s="40"/>
      <c r="P172" s="40"/>
      <c r="Q172" s="40"/>
      <c r="R172" s="40"/>
      <c r="S172" s="40"/>
      <c r="T172" s="40"/>
      <c r="U172" s="40"/>
      <c r="V172" s="40"/>
      <c r="W172" s="40"/>
    </row>
    <row r="173" spans="1:23" ht="11.25" customHeight="1" x14ac:dyDescent="0.25">
      <c r="A173" s="460" t="s">
        <v>750</v>
      </c>
      <c r="B173" s="461">
        <v>1</v>
      </c>
      <c r="C173" s="506"/>
      <c r="D173" s="465"/>
      <c r="E173" s="462"/>
      <c r="F173" s="464"/>
      <c r="G173" s="462"/>
      <c r="H173" s="464"/>
      <c r="I173" s="44">
        <f t="shared" si="24"/>
        <v>0</v>
      </c>
      <c r="J173" s="330" t="str">
        <f t="shared" si="25"/>
        <v/>
      </c>
      <c r="K173" s="463"/>
      <c r="L173" s="446"/>
      <c r="M173" s="40"/>
      <c r="N173" s="40"/>
      <c r="O173" s="40"/>
      <c r="P173" s="40"/>
      <c r="Q173" s="40"/>
      <c r="R173" s="40"/>
      <c r="S173" s="40"/>
      <c r="T173" s="40"/>
      <c r="U173" s="40"/>
      <c r="V173" s="40"/>
      <c r="W173" s="40"/>
    </row>
    <row r="174" spans="1:23" ht="11.25" customHeight="1" x14ac:dyDescent="0.25">
      <c r="A174" s="466" t="str">
        <f>'Org structure'!A2</f>
        <v>Vote 1 - City Manager</v>
      </c>
      <c r="B174" s="467"/>
      <c r="C174" s="507">
        <f t="shared" ref="C174:K174" si="31">SUM(C175:C184)</f>
        <v>0</v>
      </c>
      <c r="D174" s="471">
        <f t="shared" si="31"/>
        <v>181805355.87582266</v>
      </c>
      <c r="E174" s="468">
        <f t="shared" si="31"/>
        <v>187684680.20182845</v>
      </c>
      <c r="F174" s="470">
        <f t="shared" si="31"/>
        <v>11922019.179999996</v>
      </c>
      <c r="G174" s="468">
        <f t="shared" si="31"/>
        <v>72474879.420000017</v>
      </c>
      <c r="H174" s="470">
        <f t="shared" si="31"/>
        <v>93842340.10091424</v>
      </c>
      <c r="I174" s="44">
        <f t="shared" si="24"/>
        <v>-21367460.680914223</v>
      </c>
      <c r="J174" s="330">
        <f t="shared" si="25"/>
        <v>-0.22769530957919978</v>
      </c>
      <c r="K174" s="469">
        <f t="shared" si="31"/>
        <v>187684680.20182845</v>
      </c>
      <c r="L174" s="446"/>
      <c r="M174" s="40"/>
      <c r="N174" s="40"/>
      <c r="O174" s="40"/>
      <c r="P174" s="40"/>
      <c r="Q174" s="40"/>
      <c r="R174" s="40"/>
      <c r="S174" s="40"/>
      <c r="T174" s="40"/>
      <c r="U174" s="40"/>
      <c r="V174" s="40"/>
      <c r="W174" s="40"/>
    </row>
    <row r="175" spans="1:23" ht="11.25" customHeight="1" x14ac:dyDescent="0.25">
      <c r="A175" s="407" t="str">
        <f>'Org structure'!E3</f>
        <v>1.1 - Internal Audit and Compliance</v>
      </c>
      <c r="B175" s="445"/>
      <c r="C175" s="744"/>
      <c r="D175" s="745">
        <v>19757657.663691994</v>
      </c>
      <c r="E175" s="733">
        <v>19757657.663691994</v>
      </c>
      <c r="F175" s="746">
        <v>2222073.9899999998</v>
      </c>
      <c r="G175" s="733">
        <v>7554180.5700000012</v>
      </c>
      <c r="H175" s="746">
        <f t="shared" ref="H175:H178" si="32">E175/12*6</f>
        <v>9878828.8318459969</v>
      </c>
      <c r="I175" s="44">
        <f t="shared" si="24"/>
        <v>-2324648.2618459957</v>
      </c>
      <c r="J175" s="330">
        <f t="shared" si="25"/>
        <v>-0.23531617982408171</v>
      </c>
      <c r="K175" s="747">
        <f t="shared" ref="K175:K178" si="33">E175</f>
        <v>19757657.663691994</v>
      </c>
      <c r="L175" s="446"/>
      <c r="M175" s="40"/>
      <c r="N175" s="40"/>
      <c r="O175" s="40"/>
      <c r="P175" s="40"/>
      <c r="Q175" s="40"/>
      <c r="R175" s="40"/>
      <c r="S175" s="40"/>
      <c r="T175" s="40"/>
      <c r="U175" s="40"/>
      <c r="V175" s="40"/>
      <c r="W175" s="40"/>
    </row>
    <row r="176" spans="1:23" ht="11.25" customHeight="1" x14ac:dyDescent="0.25">
      <c r="A176" s="407" t="str">
        <f>'Org structure'!E4</f>
        <v>1.2 - Office of the City Manager</v>
      </c>
      <c r="B176" s="445"/>
      <c r="C176" s="744"/>
      <c r="D176" s="745">
        <v>42326752.982156038</v>
      </c>
      <c r="E176" s="733">
        <v>48206077.308161847</v>
      </c>
      <c r="F176" s="746">
        <v>3286265.85</v>
      </c>
      <c r="G176" s="733">
        <v>21365339.359999999</v>
      </c>
      <c r="H176" s="746">
        <f t="shared" si="32"/>
        <v>24103038.654080924</v>
      </c>
      <c r="I176" s="44">
        <f t="shared" si="24"/>
        <v>-2737699.2940809242</v>
      </c>
      <c r="J176" s="330">
        <f t="shared" si="25"/>
        <v>-0.11358315992317425</v>
      </c>
      <c r="K176" s="747">
        <f t="shared" si="33"/>
        <v>48206077.308161847</v>
      </c>
      <c r="L176" s="446"/>
      <c r="M176" s="40"/>
      <c r="N176" s="40"/>
      <c r="O176" s="40"/>
      <c r="P176" s="40"/>
      <c r="Q176" s="40"/>
      <c r="R176" s="40"/>
      <c r="S176" s="40"/>
      <c r="T176" s="40"/>
      <c r="U176" s="40"/>
      <c r="V176" s="40"/>
      <c r="W176" s="40"/>
    </row>
    <row r="177" spans="1:23" ht="11.25" customHeight="1" x14ac:dyDescent="0.25">
      <c r="A177" s="407" t="str">
        <f>'Org structure'!E5</f>
        <v>1.3 - Political Support</v>
      </c>
      <c r="B177" s="445"/>
      <c r="C177" s="744"/>
      <c r="D177" s="745">
        <v>106872334.4376146</v>
      </c>
      <c r="E177" s="733">
        <v>106872334.4376146</v>
      </c>
      <c r="F177" s="746">
        <v>5871621.9999999972</v>
      </c>
      <c r="G177" s="733">
        <v>40228488.960000008</v>
      </c>
      <c r="H177" s="746">
        <f t="shared" si="32"/>
        <v>53436167.21880731</v>
      </c>
      <c r="I177" s="44">
        <f t="shared" si="24"/>
        <v>-13207678.258807302</v>
      </c>
      <c r="J177" s="330">
        <f t="shared" si="25"/>
        <v>-0.24716739516000968</v>
      </c>
      <c r="K177" s="747">
        <f t="shared" si="33"/>
        <v>106872334.4376146</v>
      </c>
      <c r="L177" s="446"/>
      <c r="M177" s="40"/>
      <c r="N177" s="40"/>
      <c r="O177" s="40"/>
      <c r="P177" s="40"/>
      <c r="Q177" s="40"/>
      <c r="R177" s="40"/>
      <c r="S177" s="40"/>
      <c r="T177" s="40"/>
      <c r="U177" s="40"/>
      <c r="V177" s="40"/>
      <c r="W177" s="40"/>
    </row>
    <row r="178" spans="1:23" ht="11.25" customHeight="1" x14ac:dyDescent="0.25">
      <c r="A178" s="407" t="str">
        <f>'Org structure'!E6</f>
        <v>1.4 - Strategic Planning</v>
      </c>
      <c r="B178" s="445"/>
      <c r="C178" s="744"/>
      <c r="D178" s="745">
        <v>12848610.792359998</v>
      </c>
      <c r="E178" s="733">
        <v>12848610.792359998</v>
      </c>
      <c r="F178" s="746">
        <v>542057.34000000008</v>
      </c>
      <c r="G178" s="733">
        <v>3326870.53</v>
      </c>
      <c r="H178" s="746">
        <f t="shared" si="32"/>
        <v>6424305.3961799992</v>
      </c>
      <c r="I178" s="44">
        <f t="shared" si="24"/>
        <v>-3097434.8661799994</v>
      </c>
      <c r="J178" s="330">
        <f t="shared" si="25"/>
        <v>-0.48214315403215213</v>
      </c>
      <c r="K178" s="747">
        <f t="shared" si="33"/>
        <v>12848610.792359998</v>
      </c>
      <c r="L178" s="446"/>
      <c r="M178" s="40"/>
      <c r="N178" s="40"/>
      <c r="O178" s="40"/>
      <c r="P178" s="40"/>
      <c r="Q178" s="40"/>
      <c r="R178" s="40"/>
      <c r="S178" s="40"/>
      <c r="T178" s="40"/>
      <c r="U178" s="40"/>
      <c r="V178" s="40"/>
      <c r="W178" s="40"/>
    </row>
    <row r="179" spans="1:23" ht="11.25" hidden="1" customHeight="1" x14ac:dyDescent="0.25">
      <c r="A179" s="407">
        <f>'Org structure'!E7</f>
        <v>0</v>
      </c>
      <c r="B179" s="445"/>
      <c r="C179" s="744"/>
      <c r="D179" s="745"/>
      <c r="E179" s="733"/>
      <c r="F179" s="746"/>
      <c r="G179" s="733"/>
      <c r="H179" s="746"/>
      <c r="I179" s="44">
        <f t="shared" si="24"/>
        <v>0</v>
      </c>
      <c r="J179" s="330" t="str">
        <f t="shared" si="25"/>
        <v/>
      </c>
      <c r="K179" s="747"/>
      <c r="L179" s="446"/>
      <c r="M179" s="40"/>
      <c r="N179" s="40"/>
      <c r="O179" s="40"/>
      <c r="P179" s="40"/>
      <c r="Q179" s="40"/>
      <c r="R179" s="40"/>
      <c r="S179" s="40"/>
      <c r="T179" s="40"/>
      <c r="U179" s="40"/>
      <c r="V179" s="40"/>
      <c r="W179" s="40"/>
    </row>
    <row r="180" spans="1:23" ht="11.25" hidden="1" customHeight="1" x14ac:dyDescent="0.25">
      <c r="A180" s="407">
        <f>'Org structure'!E8</f>
        <v>0</v>
      </c>
      <c r="B180" s="445"/>
      <c r="C180" s="744"/>
      <c r="D180" s="745"/>
      <c r="E180" s="733"/>
      <c r="F180" s="746"/>
      <c r="G180" s="733"/>
      <c r="H180" s="746"/>
      <c r="I180" s="44">
        <f t="shared" si="24"/>
        <v>0</v>
      </c>
      <c r="J180" s="330" t="str">
        <f t="shared" si="25"/>
        <v/>
      </c>
      <c r="K180" s="747"/>
      <c r="L180" s="446"/>
      <c r="M180" s="40"/>
      <c r="N180" s="40"/>
      <c r="O180" s="40"/>
      <c r="P180" s="40"/>
      <c r="Q180" s="40"/>
      <c r="R180" s="40"/>
      <c r="S180" s="40"/>
      <c r="T180" s="40"/>
      <c r="U180" s="40"/>
      <c r="V180" s="40"/>
      <c r="W180" s="40"/>
    </row>
    <row r="181" spans="1:23" ht="11.25" hidden="1" customHeight="1" x14ac:dyDescent="0.25">
      <c r="A181" s="407">
        <f>'Org structure'!E9</f>
        <v>0</v>
      </c>
      <c r="B181" s="445"/>
      <c r="C181" s="744"/>
      <c r="D181" s="745"/>
      <c r="E181" s="733"/>
      <c r="F181" s="746"/>
      <c r="G181" s="733"/>
      <c r="H181" s="746"/>
      <c r="I181" s="44">
        <f t="shared" si="24"/>
        <v>0</v>
      </c>
      <c r="J181" s="330" t="str">
        <f t="shared" si="25"/>
        <v/>
      </c>
      <c r="K181" s="747"/>
      <c r="L181" s="446"/>
      <c r="M181" s="40"/>
      <c r="N181" s="40"/>
      <c r="O181" s="40"/>
      <c r="P181" s="40"/>
      <c r="Q181" s="40"/>
      <c r="R181" s="40"/>
      <c r="S181" s="40"/>
      <c r="T181" s="40"/>
      <c r="U181" s="40"/>
      <c r="V181" s="40"/>
      <c r="W181" s="40"/>
    </row>
    <row r="182" spans="1:23" ht="11.25" hidden="1" customHeight="1" x14ac:dyDescent="0.25">
      <c r="A182" s="407">
        <f>'Org structure'!E10</f>
        <v>0</v>
      </c>
      <c r="B182" s="445"/>
      <c r="C182" s="744"/>
      <c r="D182" s="745"/>
      <c r="E182" s="733"/>
      <c r="F182" s="746"/>
      <c r="G182" s="733"/>
      <c r="H182" s="746"/>
      <c r="I182" s="44">
        <f t="shared" si="24"/>
        <v>0</v>
      </c>
      <c r="J182" s="330" t="str">
        <f t="shared" si="25"/>
        <v/>
      </c>
      <c r="K182" s="747"/>
      <c r="L182" s="446"/>
      <c r="M182" s="40"/>
      <c r="N182" s="40"/>
      <c r="O182" s="40"/>
      <c r="P182" s="40"/>
      <c r="Q182" s="40"/>
      <c r="R182" s="40"/>
      <c r="S182" s="40"/>
      <c r="T182" s="40"/>
      <c r="U182" s="40"/>
      <c r="V182" s="40"/>
      <c r="W182" s="40"/>
    </row>
    <row r="183" spans="1:23" ht="11.25" hidden="1" customHeight="1" x14ac:dyDescent="0.25">
      <c r="A183" s="407">
        <f>'Org structure'!E11</f>
        <v>0</v>
      </c>
      <c r="B183" s="445"/>
      <c r="C183" s="744"/>
      <c r="D183" s="745"/>
      <c r="E183" s="733"/>
      <c r="F183" s="746"/>
      <c r="G183" s="733"/>
      <c r="H183" s="746"/>
      <c r="I183" s="44">
        <f t="shared" si="24"/>
        <v>0</v>
      </c>
      <c r="J183" s="330" t="str">
        <f t="shared" si="25"/>
        <v/>
      </c>
      <c r="K183" s="747"/>
      <c r="L183" s="446"/>
      <c r="M183" s="40"/>
      <c r="N183" s="40"/>
      <c r="O183" s="40"/>
      <c r="P183" s="40"/>
      <c r="Q183" s="40"/>
      <c r="R183" s="40"/>
      <c r="S183" s="40"/>
      <c r="T183" s="40"/>
      <c r="U183" s="40"/>
      <c r="V183" s="40"/>
      <c r="W183" s="40"/>
    </row>
    <row r="184" spans="1:23" ht="11.25" hidden="1" customHeight="1" x14ac:dyDescent="0.25">
      <c r="A184" s="407">
        <f>'Org structure'!E12</f>
        <v>0</v>
      </c>
      <c r="B184" s="445"/>
      <c r="C184" s="744"/>
      <c r="D184" s="745"/>
      <c r="E184" s="733"/>
      <c r="F184" s="746"/>
      <c r="G184" s="733"/>
      <c r="H184" s="746"/>
      <c r="I184" s="44">
        <f t="shared" si="24"/>
        <v>0</v>
      </c>
      <c r="J184" s="330" t="str">
        <f t="shared" si="25"/>
        <v/>
      </c>
      <c r="K184" s="747"/>
      <c r="L184" s="48"/>
      <c r="M184" s="473"/>
      <c r="N184" s="473"/>
      <c r="O184" s="473"/>
      <c r="P184" s="473"/>
      <c r="Q184" s="473"/>
      <c r="R184" s="473"/>
      <c r="S184" s="473"/>
      <c r="T184" s="473"/>
      <c r="U184" s="473"/>
      <c r="V184" s="473"/>
      <c r="W184" s="473"/>
    </row>
    <row r="185" spans="1:23" ht="11.25" customHeight="1" x14ac:dyDescent="0.25">
      <c r="A185" s="466" t="str">
        <f>'Org structure'!A3</f>
        <v>Vote 2 - City Finance</v>
      </c>
      <c r="B185" s="440"/>
      <c r="C185" s="503">
        <f>SUM(C186:C195)</f>
        <v>0</v>
      </c>
      <c r="D185" s="444">
        <f>SUM(D186:D195)</f>
        <v>700877661.2400291</v>
      </c>
      <c r="E185" s="441">
        <f t="shared" ref="E185:K185" si="34">SUM(E186:E195)</f>
        <v>701512353.70556009</v>
      </c>
      <c r="F185" s="443">
        <f t="shared" si="34"/>
        <v>25985551.059999991</v>
      </c>
      <c r="G185" s="441">
        <f t="shared" si="34"/>
        <v>162251122.26999998</v>
      </c>
      <c r="H185" s="443">
        <f t="shared" si="34"/>
        <v>350756176.85278004</v>
      </c>
      <c r="I185" s="44">
        <f t="shared" si="24"/>
        <v>-188505054.58278006</v>
      </c>
      <c r="J185" s="330">
        <f t="shared" si="25"/>
        <v>-0.53742476119501015</v>
      </c>
      <c r="K185" s="442">
        <f t="shared" si="34"/>
        <v>701512353.70556009</v>
      </c>
      <c r="L185" s="48"/>
      <c r="M185" s="473"/>
      <c r="N185" s="473"/>
      <c r="O185" s="473"/>
      <c r="P185" s="473"/>
      <c r="Q185" s="473"/>
      <c r="R185" s="473"/>
      <c r="S185" s="473"/>
      <c r="T185" s="473"/>
      <c r="U185" s="473"/>
      <c r="V185" s="473"/>
      <c r="W185" s="473"/>
    </row>
    <row r="186" spans="1:23" ht="11.25" customHeight="1" x14ac:dyDescent="0.25">
      <c r="A186" s="407" t="str">
        <f>'Org structure'!E14</f>
        <v>2.1 - Asset Management</v>
      </c>
      <c r="B186" s="445"/>
      <c r="C186" s="744"/>
      <c r="D186" s="745">
        <v>94584991.874728531</v>
      </c>
      <c r="E186" s="733">
        <v>94584991.874728531</v>
      </c>
      <c r="F186" s="746">
        <v>4338889.2299999986</v>
      </c>
      <c r="G186" s="733">
        <v>38288963.100000001</v>
      </c>
      <c r="H186" s="746">
        <f t="shared" ref="H186:H190" si="35">E186/12*6</f>
        <v>47292495.937364265</v>
      </c>
      <c r="I186" s="44">
        <f t="shared" si="24"/>
        <v>-9003532.8373642638</v>
      </c>
      <c r="J186" s="330">
        <f t="shared" si="25"/>
        <v>-0.19037973485875725</v>
      </c>
      <c r="K186" s="747">
        <f t="shared" ref="K186:K190" si="36">E186</f>
        <v>94584991.874728531</v>
      </c>
      <c r="L186" s="48"/>
      <c r="M186" s="473"/>
      <c r="N186" s="473"/>
      <c r="O186" s="473"/>
      <c r="P186" s="473"/>
      <c r="Q186" s="473"/>
      <c r="R186" s="473"/>
      <c r="S186" s="473"/>
      <c r="T186" s="473"/>
      <c r="U186" s="473"/>
      <c r="V186" s="473"/>
      <c r="W186" s="473"/>
    </row>
    <row r="187" spans="1:23" ht="11.25" customHeight="1" x14ac:dyDescent="0.25">
      <c r="A187" s="407" t="str">
        <f>'Org structure'!E15</f>
        <v>2.2 - Budget and Treasury Management</v>
      </c>
      <c r="B187" s="445"/>
      <c r="C187" s="744"/>
      <c r="D187" s="745">
        <v>34270508.087497681</v>
      </c>
      <c r="E187" s="733">
        <v>45201053.790604897</v>
      </c>
      <c r="F187" s="746">
        <v>7320680.0599999977</v>
      </c>
      <c r="G187" s="733">
        <v>39274445.509999998</v>
      </c>
      <c r="H187" s="746">
        <f t="shared" si="35"/>
        <v>22600526.895302448</v>
      </c>
      <c r="I187" s="44">
        <f t="shared" si="24"/>
        <v>16673918.614697549</v>
      </c>
      <c r="J187" s="330">
        <f t="shared" si="25"/>
        <v>0.73776680924033</v>
      </c>
      <c r="K187" s="747">
        <f t="shared" si="36"/>
        <v>45201053.790604897</v>
      </c>
      <c r="L187" s="48"/>
      <c r="M187" s="473"/>
      <c r="N187" s="473"/>
      <c r="O187" s="473"/>
      <c r="P187" s="473"/>
      <c r="Q187" s="473"/>
      <c r="R187" s="473"/>
      <c r="S187" s="473"/>
      <c r="T187" s="473"/>
      <c r="U187" s="473"/>
      <c r="V187" s="473"/>
      <c r="W187" s="473"/>
    </row>
    <row r="188" spans="1:23" ht="11.25" customHeight="1" x14ac:dyDescent="0.25">
      <c r="A188" s="407" t="str">
        <f>'Org structure'!E16</f>
        <v>2.3 - Expenditure Management</v>
      </c>
      <c r="B188" s="445"/>
      <c r="C188" s="744"/>
      <c r="D188" s="745">
        <v>484978367.60950798</v>
      </c>
      <c r="E188" s="733">
        <v>457585622.91509426</v>
      </c>
      <c r="F188" s="746">
        <v>1167494.03</v>
      </c>
      <c r="G188" s="733">
        <v>16971319.259999994</v>
      </c>
      <c r="H188" s="746">
        <f t="shared" si="35"/>
        <v>228792811.45754713</v>
      </c>
      <c r="I188" s="44">
        <f t="shared" si="24"/>
        <v>-211821492.19754714</v>
      </c>
      <c r="J188" s="330">
        <f t="shared" si="25"/>
        <v>-0.92582232303592704</v>
      </c>
      <c r="K188" s="747">
        <f t="shared" si="36"/>
        <v>457585622.91509426</v>
      </c>
      <c r="L188" s="48"/>
      <c r="M188" s="473"/>
      <c r="N188" s="473"/>
      <c r="O188" s="473"/>
      <c r="P188" s="473"/>
      <c r="Q188" s="473"/>
      <c r="R188" s="473"/>
      <c r="S188" s="473"/>
      <c r="T188" s="473"/>
      <c r="U188" s="473"/>
      <c r="V188" s="473"/>
      <c r="W188" s="473"/>
    </row>
    <row r="189" spans="1:23" ht="11.25" customHeight="1" x14ac:dyDescent="0.25">
      <c r="A189" s="407" t="str">
        <f>'Org structure'!E17</f>
        <v>2.4 - Revenue Management</v>
      </c>
      <c r="B189" s="445"/>
      <c r="C189" s="744"/>
      <c r="D189" s="745">
        <v>22239285.456538409</v>
      </c>
      <c r="E189" s="733">
        <v>22239285.456538409</v>
      </c>
      <c r="F189" s="746">
        <v>9535744.5699999984</v>
      </c>
      <c r="G189" s="733">
        <v>47391636.139999986</v>
      </c>
      <c r="H189" s="746">
        <f t="shared" si="35"/>
        <v>11119642.728269204</v>
      </c>
      <c r="I189" s="44">
        <f t="shared" si="24"/>
        <v>36271993.411730781</v>
      </c>
      <c r="J189" s="330">
        <f t="shared" si="25"/>
        <v>3.2619747143060045</v>
      </c>
      <c r="K189" s="747">
        <f t="shared" si="36"/>
        <v>22239285.456538409</v>
      </c>
      <c r="L189" s="48"/>
      <c r="M189" s="473"/>
      <c r="N189" s="473"/>
      <c r="O189" s="473"/>
      <c r="P189" s="473"/>
      <c r="Q189" s="473"/>
      <c r="R189" s="473"/>
      <c r="S189" s="473"/>
      <c r="T189" s="473"/>
      <c r="U189" s="473"/>
      <c r="V189" s="473"/>
      <c r="W189" s="473"/>
    </row>
    <row r="190" spans="1:23" ht="11.25" customHeight="1" x14ac:dyDescent="0.25">
      <c r="A190" s="407" t="str">
        <f>'Org structure'!E18</f>
        <v>2.5 - Supply Chain Management</v>
      </c>
      <c r="B190" s="445"/>
      <c r="C190" s="744"/>
      <c r="D190" s="745">
        <v>64804508.211756505</v>
      </c>
      <c r="E190" s="733">
        <v>81901399.668594033</v>
      </c>
      <c r="F190" s="746">
        <v>3622743.169999999</v>
      </c>
      <c r="G190" s="733">
        <v>20324758.260000002</v>
      </c>
      <c r="H190" s="746">
        <f t="shared" si="35"/>
        <v>40950699.834297016</v>
      </c>
      <c r="I190" s="44">
        <f t="shared" si="24"/>
        <v>-20625941.574297015</v>
      </c>
      <c r="J190" s="330">
        <f t="shared" si="25"/>
        <v>-0.50367738909854676</v>
      </c>
      <c r="K190" s="747">
        <f t="shared" si="36"/>
        <v>81901399.668594033</v>
      </c>
      <c r="L190" s="48"/>
      <c r="M190" s="473"/>
      <c r="N190" s="473"/>
      <c r="O190" s="473"/>
      <c r="P190" s="473"/>
      <c r="Q190" s="473"/>
      <c r="R190" s="473"/>
      <c r="S190" s="473"/>
      <c r="T190" s="473"/>
      <c r="U190" s="473"/>
      <c r="V190" s="473"/>
      <c r="W190" s="473"/>
    </row>
    <row r="191" spans="1:23" ht="11.25" hidden="1" customHeight="1" x14ac:dyDescent="0.25">
      <c r="A191" s="407">
        <f>'Org structure'!E19</f>
        <v>0</v>
      </c>
      <c r="B191" s="445"/>
      <c r="C191" s="744"/>
      <c r="D191" s="745"/>
      <c r="E191" s="733"/>
      <c r="F191" s="746"/>
      <c r="G191" s="733"/>
      <c r="H191" s="746"/>
      <c r="I191" s="44">
        <f t="shared" si="24"/>
        <v>0</v>
      </c>
      <c r="J191" s="330" t="str">
        <f t="shared" si="25"/>
        <v/>
      </c>
      <c r="K191" s="747"/>
      <c r="L191" s="48"/>
      <c r="M191" s="473"/>
      <c r="N191" s="473"/>
      <c r="O191" s="473"/>
      <c r="P191" s="473"/>
      <c r="Q191" s="473"/>
      <c r="R191" s="473"/>
      <c r="S191" s="473"/>
      <c r="T191" s="473"/>
      <c r="U191" s="473"/>
      <c r="V191" s="473"/>
      <c r="W191" s="473"/>
    </row>
    <row r="192" spans="1:23" ht="11.25" hidden="1" customHeight="1" x14ac:dyDescent="0.25">
      <c r="A192" s="407">
        <f>'Org structure'!E20</f>
        <v>0</v>
      </c>
      <c r="B192" s="445"/>
      <c r="C192" s="744"/>
      <c r="D192" s="745"/>
      <c r="E192" s="733"/>
      <c r="F192" s="746"/>
      <c r="G192" s="733"/>
      <c r="H192" s="746"/>
      <c r="I192" s="44">
        <f t="shared" si="24"/>
        <v>0</v>
      </c>
      <c r="J192" s="330" t="str">
        <f t="shared" si="25"/>
        <v/>
      </c>
      <c r="K192" s="747"/>
      <c r="L192" s="48"/>
      <c r="M192" s="473"/>
      <c r="N192" s="473"/>
      <c r="O192" s="473"/>
      <c r="P192" s="473"/>
      <c r="Q192" s="473"/>
      <c r="R192" s="473"/>
      <c r="S192" s="473"/>
      <c r="T192" s="473"/>
      <c r="U192" s="473"/>
      <c r="V192" s="473"/>
      <c r="W192" s="473"/>
    </row>
    <row r="193" spans="1:23" ht="11.25" hidden="1" customHeight="1" x14ac:dyDescent="0.25">
      <c r="A193" s="407">
        <f>'Org structure'!E21</f>
        <v>0</v>
      </c>
      <c r="B193" s="445"/>
      <c r="C193" s="744"/>
      <c r="D193" s="745"/>
      <c r="E193" s="733"/>
      <c r="F193" s="746"/>
      <c r="G193" s="733"/>
      <c r="H193" s="746"/>
      <c r="I193" s="44">
        <f t="shared" si="24"/>
        <v>0</v>
      </c>
      <c r="J193" s="330" t="str">
        <f t="shared" si="25"/>
        <v/>
      </c>
      <c r="K193" s="747"/>
      <c r="L193" s="48"/>
      <c r="M193" s="473"/>
      <c r="N193" s="473"/>
      <c r="O193" s="473"/>
      <c r="P193" s="473"/>
      <c r="Q193" s="473"/>
      <c r="R193" s="473"/>
      <c r="S193" s="473"/>
      <c r="T193" s="473"/>
      <c r="U193" s="473"/>
      <c r="V193" s="473"/>
      <c r="W193" s="473"/>
    </row>
    <row r="194" spans="1:23" ht="11.25" hidden="1" customHeight="1" x14ac:dyDescent="0.25">
      <c r="A194" s="407">
        <f>'Org structure'!E22</f>
        <v>0</v>
      </c>
      <c r="B194" s="445"/>
      <c r="C194" s="744"/>
      <c r="D194" s="745"/>
      <c r="E194" s="733"/>
      <c r="F194" s="746"/>
      <c r="G194" s="733"/>
      <c r="H194" s="746"/>
      <c r="I194" s="44">
        <f t="shared" si="24"/>
        <v>0</v>
      </c>
      <c r="J194" s="330" t="str">
        <f t="shared" si="25"/>
        <v/>
      </c>
      <c r="K194" s="747"/>
      <c r="L194" s="48"/>
      <c r="M194" s="473"/>
      <c r="N194" s="473"/>
      <c r="O194" s="473"/>
      <c r="P194" s="473"/>
      <c r="Q194" s="473"/>
      <c r="R194" s="473"/>
      <c r="S194" s="473"/>
      <c r="T194" s="473"/>
      <c r="U194" s="473"/>
      <c r="V194" s="473"/>
      <c r="W194" s="473"/>
    </row>
    <row r="195" spans="1:23" ht="11.25" hidden="1" customHeight="1" x14ac:dyDescent="0.25">
      <c r="A195" s="407">
        <f>'Org structure'!E23</f>
        <v>0</v>
      </c>
      <c r="B195" s="445"/>
      <c r="C195" s="744"/>
      <c r="D195" s="745"/>
      <c r="E195" s="733"/>
      <c r="F195" s="746"/>
      <c r="G195" s="733"/>
      <c r="H195" s="746"/>
      <c r="I195" s="44">
        <f t="shared" si="24"/>
        <v>0</v>
      </c>
      <c r="J195" s="330" t="str">
        <f t="shared" si="25"/>
        <v/>
      </c>
      <c r="K195" s="747"/>
      <c r="L195" s="48"/>
      <c r="M195" s="473"/>
      <c r="N195" s="473"/>
      <c r="O195" s="473"/>
      <c r="P195" s="473"/>
      <c r="Q195" s="473"/>
      <c r="R195" s="473"/>
      <c r="S195" s="473"/>
      <c r="T195" s="473"/>
      <c r="U195" s="473"/>
      <c r="V195" s="473"/>
      <c r="W195" s="473"/>
    </row>
    <row r="196" spans="1:23" ht="11.25" customHeight="1" x14ac:dyDescent="0.25">
      <c r="A196" s="466" t="str">
        <f>'Org structure'!A4</f>
        <v>Vote 3 - Community Services and Social Equity</v>
      </c>
      <c r="B196" s="440"/>
      <c r="C196" s="503">
        <f t="shared" ref="C196:K196" si="37">SUM(C197:C206)</f>
        <v>0</v>
      </c>
      <c r="D196" s="444">
        <f t="shared" si="37"/>
        <v>743751614.16259539</v>
      </c>
      <c r="E196" s="441">
        <f t="shared" si="37"/>
        <v>743751614.16259539</v>
      </c>
      <c r="F196" s="443">
        <f t="shared" si="37"/>
        <v>68099341.519999996</v>
      </c>
      <c r="G196" s="441">
        <f t="shared" si="37"/>
        <v>419417775.50999999</v>
      </c>
      <c r="H196" s="443">
        <f t="shared" si="37"/>
        <v>371875807.0812977</v>
      </c>
      <c r="I196" s="44">
        <f t="shared" si="24"/>
        <v>47541968.428702295</v>
      </c>
      <c r="J196" s="330">
        <f t="shared" si="25"/>
        <v>0.12784367125637969</v>
      </c>
      <c r="K196" s="442">
        <f t="shared" si="37"/>
        <v>743751614.16259539</v>
      </c>
      <c r="L196" s="48"/>
      <c r="M196" s="473"/>
      <c r="N196" s="473"/>
      <c r="O196" s="473"/>
      <c r="P196" s="473"/>
      <c r="Q196" s="473"/>
      <c r="R196" s="473"/>
      <c r="S196" s="473"/>
      <c r="T196" s="473"/>
      <c r="U196" s="473"/>
      <c r="V196" s="473"/>
      <c r="W196" s="473"/>
    </row>
    <row r="197" spans="1:23" ht="11.25" customHeight="1" x14ac:dyDescent="0.25">
      <c r="A197" s="407" t="str">
        <f>'Org structure'!E25</f>
        <v xml:space="preserve">3.1 - Area Based Management </v>
      </c>
      <c r="B197" s="445"/>
      <c r="C197" s="744"/>
      <c r="D197" s="745"/>
      <c r="E197" s="733"/>
      <c r="F197" s="746">
        <v>2790061.5800000005</v>
      </c>
      <c r="G197" s="733">
        <v>18723947.729999997</v>
      </c>
      <c r="H197" s="746"/>
      <c r="I197" s="44">
        <f t="shared" si="24"/>
        <v>18723947.729999997</v>
      </c>
      <c r="J197" s="330" t="e">
        <f t="shared" si="25"/>
        <v>#DIV/0!</v>
      </c>
      <c r="K197" s="747"/>
      <c r="L197" s="48"/>
      <c r="M197" s="473"/>
      <c r="N197" s="473"/>
      <c r="O197" s="473"/>
      <c r="P197" s="473"/>
      <c r="Q197" s="473"/>
      <c r="R197" s="473"/>
      <c r="S197" s="473"/>
      <c r="T197" s="473"/>
      <c r="U197" s="473"/>
      <c r="V197" s="473"/>
      <c r="W197" s="473"/>
    </row>
    <row r="198" spans="1:23" ht="11.25" customHeight="1" x14ac:dyDescent="0.25">
      <c r="A198" s="407" t="str">
        <f>'Org structure'!E26</f>
        <v>3.2 - Public Safety, Emergency Services and Enforcement</v>
      </c>
      <c r="B198" s="445"/>
      <c r="C198" s="744"/>
      <c r="D198" s="745">
        <v>743751614.16259539</v>
      </c>
      <c r="E198" s="733">
        <v>743751614.16259539</v>
      </c>
      <c r="F198" s="746">
        <v>34453087.930000007</v>
      </c>
      <c r="G198" s="733">
        <v>185142047.04999998</v>
      </c>
      <c r="H198" s="746">
        <f>E198/12*6</f>
        <v>371875807.0812977</v>
      </c>
      <c r="I198" s="44">
        <f>G198-H198</f>
        <v>-186733760.03129771</v>
      </c>
      <c r="J198" s="330">
        <f t="shared" ref="J198:J261" si="38">IF(I198=0,"",I198/H198)</f>
        <v>-0.50214011364948752</v>
      </c>
      <c r="K198" s="747">
        <f>E198</f>
        <v>743751614.16259539</v>
      </c>
      <c r="L198" s="48"/>
      <c r="M198" s="473"/>
      <c r="N198" s="473"/>
      <c r="O198" s="473"/>
      <c r="P198" s="473"/>
      <c r="Q198" s="473"/>
      <c r="R198" s="473"/>
      <c r="S198" s="473"/>
      <c r="T198" s="473"/>
      <c r="U198" s="473"/>
      <c r="V198" s="473"/>
      <c r="W198" s="473"/>
    </row>
    <row r="199" spans="1:23" ht="11.25" customHeight="1" x14ac:dyDescent="0.25">
      <c r="A199" s="407" t="str">
        <f>'Org structure'!E27</f>
        <v>3.3 - Recreation and Facilities</v>
      </c>
      <c r="B199" s="445"/>
      <c r="C199" s="744"/>
      <c r="D199" s="745"/>
      <c r="E199" s="733"/>
      <c r="F199" s="746">
        <v>21793439.629999999</v>
      </c>
      <c r="G199" s="733">
        <v>154385617.22000006</v>
      </c>
      <c r="H199" s="746"/>
      <c r="I199" s="44">
        <f t="shared" ref="I199:I261" si="39">G199-H199</f>
        <v>154385617.22000006</v>
      </c>
      <c r="J199" s="330" t="e">
        <f t="shared" si="38"/>
        <v>#DIV/0!</v>
      </c>
      <c r="K199" s="747"/>
      <c r="L199" s="48"/>
      <c r="M199" s="473"/>
      <c r="N199" s="473"/>
      <c r="O199" s="473"/>
      <c r="P199" s="473"/>
      <c r="Q199" s="473"/>
      <c r="R199" s="473"/>
      <c r="S199" s="473"/>
      <c r="T199" s="473"/>
      <c r="U199" s="473"/>
      <c r="V199" s="473"/>
      <c r="W199" s="473"/>
    </row>
    <row r="200" spans="1:23" ht="11.25" customHeight="1" x14ac:dyDescent="0.25">
      <c r="A200" s="407" t="str">
        <f>'Org structure'!E28</f>
        <v>3.4 - Waste Management</v>
      </c>
      <c r="B200" s="445"/>
      <c r="C200" s="744"/>
      <c r="D200" s="745"/>
      <c r="E200" s="733"/>
      <c r="F200" s="746">
        <v>9062752.379999999</v>
      </c>
      <c r="G200" s="733">
        <v>61166163.509999976</v>
      </c>
      <c r="H200" s="746"/>
      <c r="I200" s="44">
        <f t="shared" si="39"/>
        <v>61166163.509999976</v>
      </c>
      <c r="J200" s="330" t="e">
        <f t="shared" si="38"/>
        <v>#DIV/0!</v>
      </c>
      <c r="K200" s="747"/>
      <c r="L200" s="48"/>
      <c r="M200" s="473"/>
      <c r="N200" s="473"/>
      <c r="O200" s="473"/>
      <c r="P200" s="473"/>
      <c r="Q200" s="473"/>
      <c r="R200" s="473"/>
      <c r="S200" s="473"/>
      <c r="T200" s="473"/>
      <c r="U200" s="473"/>
      <c r="V200" s="473"/>
      <c r="W200" s="473"/>
    </row>
    <row r="201" spans="1:23" ht="11.25" hidden="1" customHeight="1" x14ac:dyDescent="0.25">
      <c r="A201" s="407">
        <f>'Org structure'!E29</f>
        <v>0</v>
      </c>
      <c r="B201" s="445"/>
      <c r="C201" s="394"/>
      <c r="D201" s="383"/>
      <c r="E201" s="384"/>
      <c r="F201" s="472"/>
      <c r="G201" s="384"/>
      <c r="H201" s="472"/>
      <c r="I201" s="44">
        <f t="shared" si="39"/>
        <v>0</v>
      </c>
      <c r="J201" s="330" t="str">
        <f t="shared" si="38"/>
        <v/>
      </c>
      <c r="K201" s="395"/>
      <c r="L201" s="48"/>
      <c r="M201" s="473"/>
      <c r="N201" s="473"/>
      <c r="O201" s="473"/>
      <c r="P201" s="473"/>
      <c r="Q201" s="473"/>
      <c r="R201" s="473"/>
      <c r="S201" s="473"/>
      <c r="T201" s="473"/>
      <c r="U201" s="473"/>
      <c r="V201" s="473"/>
      <c r="W201" s="473"/>
    </row>
    <row r="202" spans="1:23" ht="11.25" hidden="1" customHeight="1" x14ac:dyDescent="0.25">
      <c r="A202" s="407">
        <f>'Org structure'!E30</f>
        <v>0</v>
      </c>
      <c r="B202" s="445"/>
      <c r="C202" s="394"/>
      <c r="D202" s="383"/>
      <c r="E202" s="384"/>
      <c r="F202" s="472"/>
      <c r="G202" s="384"/>
      <c r="H202" s="472"/>
      <c r="I202" s="44">
        <f t="shared" si="39"/>
        <v>0</v>
      </c>
      <c r="J202" s="330" t="str">
        <f t="shared" si="38"/>
        <v/>
      </c>
      <c r="K202" s="395"/>
      <c r="L202" s="48"/>
      <c r="M202" s="473"/>
      <c r="N202" s="473"/>
      <c r="O202" s="473"/>
      <c r="P202" s="473"/>
      <c r="Q202" s="473"/>
      <c r="R202" s="473"/>
      <c r="S202" s="473"/>
      <c r="T202" s="473"/>
      <c r="U202" s="473"/>
      <c r="V202" s="473"/>
      <c r="W202" s="473"/>
    </row>
    <row r="203" spans="1:23" ht="11.25" hidden="1" customHeight="1" x14ac:dyDescent="0.25">
      <c r="A203" s="407">
        <f>'Org structure'!E31</f>
        <v>0</v>
      </c>
      <c r="B203" s="445"/>
      <c r="C203" s="394"/>
      <c r="D203" s="383"/>
      <c r="E203" s="384"/>
      <c r="F203" s="472"/>
      <c r="G203" s="384"/>
      <c r="H203" s="472"/>
      <c r="I203" s="44">
        <f t="shared" si="39"/>
        <v>0</v>
      </c>
      <c r="J203" s="330" t="str">
        <f t="shared" si="38"/>
        <v/>
      </c>
      <c r="K203" s="395"/>
      <c r="L203" s="48"/>
      <c r="M203" s="473"/>
      <c r="N203" s="473"/>
      <c r="O203" s="473"/>
      <c r="P203" s="473"/>
      <c r="Q203" s="473"/>
      <c r="R203" s="473"/>
      <c r="S203" s="473"/>
      <c r="T203" s="473"/>
      <c r="U203" s="473"/>
      <c r="V203" s="473"/>
      <c r="W203" s="473"/>
    </row>
    <row r="204" spans="1:23" ht="11.25" hidden="1" customHeight="1" x14ac:dyDescent="0.25">
      <c r="A204" s="407">
        <f>'Org structure'!E32</f>
        <v>0</v>
      </c>
      <c r="B204" s="445"/>
      <c r="C204" s="394"/>
      <c r="D204" s="383"/>
      <c r="E204" s="384"/>
      <c r="F204" s="472"/>
      <c r="G204" s="384"/>
      <c r="H204" s="472"/>
      <c r="I204" s="44">
        <f t="shared" si="39"/>
        <v>0</v>
      </c>
      <c r="J204" s="330" t="str">
        <f t="shared" si="38"/>
        <v/>
      </c>
      <c r="K204" s="395"/>
      <c r="L204" s="48"/>
      <c r="M204" s="473"/>
      <c r="N204" s="473"/>
      <c r="O204" s="473"/>
      <c r="P204" s="473"/>
      <c r="Q204" s="473"/>
      <c r="R204" s="473"/>
      <c r="S204" s="473"/>
      <c r="T204" s="473"/>
      <c r="U204" s="473"/>
      <c r="V204" s="473"/>
      <c r="W204" s="473"/>
    </row>
    <row r="205" spans="1:23" ht="11.25" hidden="1" customHeight="1" x14ac:dyDescent="0.25">
      <c r="A205" s="407">
        <f>'Org structure'!E33</f>
        <v>0</v>
      </c>
      <c r="B205" s="445"/>
      <c r="C205" s="394"/>
      <c r="D205" s="383"/>
      <c r="E205" s="384"/>
      <c r="F205" s="472"/>
      <c r="G205" s="384"/>
      <c r="H205" s="472"/>
      <c r="I205" s="44">
        <f t="shared" si="39"/>
        <v>0</v>
      </c>
      <c r="J205" s="330" t="str">
        <f t="shared" si="38"/>
        <v/>
      </c>
      <c r="K205" s="395"/>
      <c r="L205" s="48"/>
      <c r="M205" s="473"/>
      <c r="N205" s="473"/>
      <c r="O205" s="473"/>
      <c r="P205" s="473"/>
      <c r="Q205" s="473"/>
      <c r="R205" s="473"/>
      <c r="S205" s="473"/>
      <c r="T205" s="473"/>
      <c r="U205" s="473"/>
      <c r="V205" s="473"/>
      <c r="W205" s="473"/>
    </row>
    <row r="206" spans="1:23" ht="11.25" hidden="1" customHeight="1" x14ac:dyDescent="0.25">
      <c r="A206" s="407">
        <f>'Org structure'!E34</f>
        <v>0</v>
      </c>
      <c r="B206" s="445"/>
      <c r="C206" s="394"/>
      <c r="D206" s="383"/>
      <c r="E206" s="384"/>
      <c r="F206" s="472"/>
      <c r="G206" s="384"/>
      <c r="H206" s="472"/>
      <c r="I206" s="44">
        <f t="shared" si="39"/>
        <v>0</v>
      </c>
      <c r="J206" s="330" t="str">
        <f t="shared" si="38"/>
        <v/>
      </c>
      <c r="K206" s="395"/>
      <c r="L206" s="48"/>
      <c r="M206" s="473"/>
      <c r="N206" s="473"/>
      <c r="O206" s="473"/>
      <c r="P206" s="473"/>
      <c r="Q206" s="473"/>
      <c r="R206" s="473"/>
      <c r="S206" s="473"/>
      <c r="T206" s="473"/>
      <c r="U206" s="473"/>
      <c r="V206" s="473"/>
      <c r="W206" s="473"/>
    </row>
    <row r="207" spans="1:23" ht="11.25" customHeight="1" x14ac:dyDescent="0.25">
      <c r="A207" s="466" t="str">
        <f>'Org structure'!A5</f>
        <v>Vote 4 - Corporate Services</v>
      </c>
      <c r="B207" s="440"/>
      <c r="C207" s="503">
        <f t="shared" ref="C207:K207" si="40">SUM(C208:C217)</f>
        <v>0</v>
      </c>
      <c r="D207" s="444">
        <f t="shared" si="40"/>
        <v>200548950.39124021</v>
      </c>
      <c r="E207" s="441">
        <f t="shared" si="40"/>
        <v>200548953.39108872</v>
      </c>
      <c r="F207" s="443">
        <f t="shared" si="40"/>
        <v>14267432.68</v>
      </c>
      <c r="G207" s="441">
        <f t="shared" si="40"/>
        <v>66547259.439999998</v>
      </c>
      <c r="H207" s="443">
        <f t="shared" si="40"/>
        <v>100274476.69554435</v>
      </c>
      <c r="I207" s="44">
        <f t="shared" si="39"/>
        <v>-33727217.25554435</v>
      </c>
      <c r="J207" s="330">
        <f t="shared" si="38"/>
        <v>-0.33634897300883149</v>
      </c>
      <c r="K207" s="442">
        <f t="shared" si="40"/>
        <v>200548953.39108872</v>
      </c>
      <c r="L207" s="48"/>
      <c r="M207" s="473"/>
      <c r="N207" s="473"/>
      <c r="O207" s="473"/>
      <c r="P207" s="473"/>
      <c r="Q207" s="473"/>
      <c r="R207" s="473"/>
      <c r="S207" s="473"/>
      <c r="T207" s="473"/>
      <c r="U207" s="473"/>
      <c r="V207" s="473"/>
      <c r="W207" s="473"/>
    </row>
    <row r="208" spans="1:23" ht="11.25" customHeight="1" x14ac:dyDescent="0.25">
      <c r="A208" s="407" t="str">
        <f>'Org structure'!E36</f>
        <v>4.1 - Human Resources Management</v>
      </c>
      <c r="B208" s="445"/>
      <c r="C208" s="394"/>
      <c r="D208" s="383">
        <v>37102233.058023594</v>
      </c>
      <c r="E208" s="384">
        <v>37102236.057872109</v>
      </c>
      <c r="F208" s="472">
        <v>5194236.4799999986</v>
      </c>
      <c r="G208" s="384">
        <v>28946567.719999999</v>
      </c>
      <c r="H208" s="472">
        <f t="shared" ref="H208:H212" si="41">E208/12*6</f>
        <v>18551118.028936055</v>
      </c>
      <c r="I208" s="44">
        <f t="shared" si="39"/>
        <v>10395449.691063944</v>
      </c>
      <c r="J208" s="330">
        <f t="shared" si="38"/>
        <v>0.56036782661018658</v>
      </c>
      <c r="K208" s="395">
        <f t="shared" ref="K208:K212" si="42">E208</f>
        <v>37102236.057872109</v>
      </c>
      <c r="L208" s="48"/>
      <c r="M208" s="473"/>
      <c r="N208" s="473"/>
      <c r="O208" s="473"/>
      <c r="P208" s="473"/>
      <c r="Q208" s="473"/>
      <c r="R208" s="473"/>
      <c r="S208" s="473"/>
      <c r="T208" s="473"/>
      <c r="U208" s="473"/>
      <c r="V208" s="473"/>
      <c r="W208" s="473"/>
    </row>
    <row r="209" spans="1:23" ht="11.25" customHeight="1" x14ac:dyDescent="0.25">
      <c r="A209" s="407" t="str">
        <f>'Org structure'!E37</f>
        <v>4.2 - Information Technology</v>
      </c>
      <c r="B209" s="445"/>
      <c r="C209" s="394"/>
      <c r="D209" s="383">
        <v>4306177.4291027384</v>
      </c>
      <c r="E209" s="384">
        <v>4306177.4291027384</v>
      </c>
      <c r="F209" s="472">
        <v>3770508.17</v>
      </c>
      <c r="G209" s="384">
        <v>15618289.599999996</v>
      </c>
      <c r="H209" s="472">
        <f t="shared" si="41"/>
        <v>2153088.7145513692</v>
      </c>
      <c r="I209" s="44">
        <f t="shared" si="39"/>
        <v>13465200.885448627</v>
      </c>
      <c r="J209" s="330">
        <f t="shared" si="38"/>
        <v>6.2538997090300201</v>
      </c>
      <c r="K209" s="395">
        <f t="shared" si="42"/>
        <v>4306177.4291027384</v>
      </c>
      <c r="L209" s="48"/>
      <c r="M209" s="473"/>
      <c r="N209" s="473"/>
      <c r="O209" s="473"/>
      <c r="P209" s="473"/>
      <c r="Q209" s="473"/>
      <c r="R209" s="473"/>
      <c r="S209" s="473"/>
      <c r="T209" s="473"/>
      <c r="U209" s="473"/>
      <c r="V209" s="473"/>
      <c r="W209" s="473"/>
    </row>
    <row r="210" spans="1:23" ht="11.25" customHeight="1" x14ac:dyDescent="0.25">
      <c r="A210" s="407" t="str">
        <f>'Org structure'!E38</f>
        <v>4.3 - Legal Services</v>
      </c>
      <c r="B210" s="445"/>
      <c r="C210" s="394"/>
      <c r="D210" s="383">
        <v>117626955.29173322</v>
      </c>
      <c r="E210" s="384">
        <v>117626955.29173322</v>
      </c>
      <c r="F210" s="472">
        <v>1575648.8</v>
      </c>
      <c r="G210" s="384">
        <v>6195658.4800000004</v>
      </c>
      <c r="H210" s="472">
        <f t="shared" si="41"/>
        <v>58813477.645866603</v>
      </c>
      <c r="I210" s="44">
        <f t="shared" si="39"/>
        <v>-52617819.165866598</v>
      </c>
      <c r="J210" s="330">
        <f t="shared" si="38"/>
        <v>-0.89465580462175864</v>
      </c>
      <c r="K210" s="395">
        <f t="shared" si="42"/>
        <v>117626955.29173322</v>
      </c>
      <c r="L210" s="48"/>
      <c r="M210" s="473"/>
      <c r="N210" s="473"/>
      <c r="O210" s="473"/>
      <c r="P210" s="473"/>
      <c r="Q210" s="473"/>
      <c r="R210" s="473"/>
      <c r="S210" s="473"/>
      <c r="T210" s="473"/>
      <c r="U210" s="473"/>
      <c r="V210" s="473"/>
      <c r="W210" s="473"/>
    </row>
    <row r="211" spans="1:23" ht="11.25" customHeight="1" x14ac:dyDescent="0.25">
      <c r="A211" s="407" t="str">
        <f>'Org structure'!E39</f>
        <v>4.4 - Secretariat and Auxiliary Services</v>
      </c>
      <c r="B211" s="445"/>
      <c r="C211" s="394"/>
      <c r="D211" s="383">
        <v>30502399.44295308</v>
      </c>
      <c r="E211" s="384">
        <v>30502399.44295308</v>
      </c>
      <c r="F211" s="472">
        <v>2356477.1599999992</v>
      </c>
      <c r="G211" s="384">
        <v>13164423.560000001</v>
      </c>
      <c r="H211" s="472">
        <f t="shared" si="41"/>
        <v>15251199.72147654</v>
      </c>
      <c r="I211" s="44">
        <f t="shared" si="39"/>
        <v>-2086776.1614765394</v>
      </c>
      <c r="J211" s="330">
        <f t="shared" si="38"/>
        <v>-0.13682701686333362</v>
      </c>
      <c r="K211" s="395">
        <f t="shared" si="42"/>
        <v>30502399.44295308</v>
      </c>
      <c r="L211" s="48"/>
      <c r="M211" s="473"/>
      <c r="N211" s="473"/>
      <c r="O211" s="473"/>
      <c r="P211" s="473"/>
      <c r="Q211" s="473"/>
      <c r="R211" s="473"/>
      <c r="S211" s="473"/>
      <c r="T211" s="473"/>
      <c r="U211" s="473"/>
      <c r="V211" s="473"/>
      <c r="W211" s="473"/>
    </row>
    <row r="212" spans="1:23" ht="11.25" customHeight="1" x14ac:dyDescent="0.25">
      <c r="A212" s="407" t="str">
        <f>'Org structure'!E40</f>
        <v>4.5 - General Manager: Corporate Service</v>
      </c>
      <c r="B212" s="445"/>
      <c r="C212" s="394"/>
      <c r="D212" s="383">
        <v>11011185.169427564</v>
      </c>
      <c r="E212" s="384">
        <v>11011185.169427564</v>
      </c>
      <c r="F212" s="472">
        <v>1370562.07</v>
      </c>
      <c r="G212" s="384">
        <v>2622320.08</v>
      </c>
      <c r="H212" s="472">
        <f t="shared" si="41"/>
        <v>5505592.5847137822</v>
      </c>
      <c r="I212" s="44">
        <f t="shared" si="39"/>
        <v>-2883272.5047137821</v>
      </c>
      <c r="J212" s="330">
        <f t="shared" si="38"/>
        <v>-0.52369884991474969</v>
      </c>
      <c r="K212" s="395">
        <f t="shared" si="42"/>
        <v>11011185.169427564</v>
      </c>
      <c r="L212" s="48"/>
      <c r="M212" s="473"/>
      <c r="N212" s="473"/>
      <c r="O212" s="473"/>
      <c r="P212" s="473"/>
      <c r="Q212" s="473"/>
      <c r="R212" s="473"/>
      <c r="S212" s="473"/>
      <c r="T212" s="473"/>
      <c r="U212" s="473"/>
      <c r="V212" s="473"/>
      <c r="W212" s="473"/>
    </row>
    <row r="213" spans="1:23" ht="11.25" hidden="1" customHeight="1" x14ac:dyDescent="0.25">
      <c r="A213" s="407">
        <f>'Org structure'!E41</f>
        <v>0</v>
      </c>
      <c r="B213" s="445"/>
      <c r="C213" s="394"/>
      <c r="D213" s="383"/>
      <c r="E213" s="384"/>
      <c r="F213" s="472"/>
      <c r="G213" s="384"/>
      <c r="H213" s="472"/>
      <c r="I213" s="44">
        <f t="shared" si="39"/>
        <v>0</v>
      </c>
      <c r="J213" s="330" t="str">
        <f t="shared" si="38"/>
        <v/>
      </c>
      <c r="K213" s="395"/>
      <c r="L213" s="48"/>
      <c r="M213" s="473"/>
      <c r="N213" s="473"/>
      <c r="O213" s="473"/>
      <c r="P213" s="473"/>
      <c r="Q213" s="473"/>
      <c r="R213" s="473"/>
      <c r="S213" s="473"/>
      <c r="T213" s="473"/>
      <c r="U213" s="473"/>
      <c r="V213" s="473"/>
      <c r="W213" s="473"/>
    </row>
    <row r="214" spans="1:23" ht="11.25" hidden="1" customHeight="1" x14ac:dyDescent="0.25">
      <c r="A214" s="407">
        <f>'Org structure'!E42</f>
        <v>0</v>
      </c>
      <c r="B214" s="445"/>
      <c r="C214" s="394"/>
      <c r="D214" s="383"/>
      <c r="E214" s="384"/>
      <c r="F214" s="472"/>
      <c r="G214" s="384"/>
      <c r="H214" s="472"/>
      <c r="I214" s="44">
        <f t="shared" si="39"/>
        <v>0</v>
      </c>
      <c r="J214" s="330" t="str">
        <f t="shared" si="38"/>
        <v/>
      </c>
      <c r="K214" s="395"/>
      <c r="L214" s="48"/>
      <c r="M214" s="473"/>
      <c r="N214" s="473"/>
      <c r="O214" s="473"/>
      <c r="P214" s="473"/>
      <c r="Q214" s="473"/>
      <c r="R214" s="473"/>
      <c r="S214" s="473"/>
      <c r="T214" s="473"/>
      <c r="U214" s="473"/>
      <c r="V214" s="473"/>
      <c r="W214" s="473"/>
    </row>
    <row r="215" spans="1:23" ht="11.25" hidden="1" customHeight="1" x14ac:dyDescent="0.25">
      <c r="A215" s="407">
        <f>'Org structure'!E43</f>
        <v>0</v>
      </c>
      <c r="B215" s="445"/>
      <c r="C215" s="394"/>
      <c r="D215" s="383"/>
      <c r="E215" s="384"/>
      <c r="F215" s="472"/>
      <c r="G215" s="384"/>
      <c r="H215" s="472"/>
      <c r="I215" s="44">
        <f t="shared" si="39"/>
        <v>0</v>
      </c>
      <c r="J215" s="330" t="str">
        <f t="shared" si="38"/>
        <v/>
      </c>
      <c r="K215" s="395"/>
      <c r="L215" s="48"/>
      <c r="M215" s="473"/>
      <c r="N215" s="473"/>
      <c r="O215" s="473"/>
      <c r="P215" s="473"/>
      <c r="Q215" s="473"/>
      <c r="R215" s="473"/>
      <c r="S215" s="473"/>
      <c r="T215" s="473"/>
      <c r="U215" s="473"/>
      <c r="V215" s="473"/>
      <c r="W215" s="473"/>
    </row>
    <row r="216" spans="1:23" ht="11.25" hidden="1" customHeight="1" x14ac:dyDescent="0.25">
      <c r="A216" s="407">
        <f>'Org structure'!E44</f>
        <v>0</v>
      </c>
      <c r="B216" s="445"/>
      <c r="C216" s="394"/>
      <c r="D216" s="383"/>
      <c r="E216" s="384"/>
      <c r="F216" s="472"/>
      <c r="G216" s="384"/>
      <c r="H216" s="472"/>
      <c r="I216" s="44">
        <f t="shared" si="39"/>
        <v>0</v>
      </c>
      <c r="J216" s="330" t="str">
        <f t="shared" si="38"/>
        <v/>
      </c>
      <c r="K216" s="395"/>
      <c r="L216" s="48"/>
      <c r="M216" s="473"/>
      <c r="N216" s="473"/>
      <c r="O216" s="473"/>
      <c r="P216" s="473"/>
      <c r="Q216" s="473"/>
      <c r="R216" s="473"/>
      <c r="S216" s="473"/>
      <c r="T216" s="473"/>
      <c r="U216" s="473"/>
      <c r="V216" s="473"/>
      <c r="W216" s="473"/>
    </row>
    <row r="217" spans="1:23" ht="11.25" hidden="1" customHeight="1" x14ac:dyDescent="0.25">
      <c r="A217" s="407">
        <f>'Org structure'!E45</f>
        <v>0</v>
      </c>
      <c r="B217" s="445"/>
      <c r="C217" s="394"/>
      <c r="D217" s="383"/>
      <c r="E217" s="384"/>
      <c r="F217" s="472"/>
      <c r="G217" s="384"/>
      <c r="H217" s="472"/>
      <c r="I217" s="44">
        <f t="shared" si="39"/>
        <v>0</v>
      </c>
      <c r="J217" s="330" t="str">
        <f t="shared" si="38"/>
        <v/>
      </c>
      <c r="K217" s="395"/>
      <c r="L217" s="48"/>
      <c r="M217" s="473"/>
      <c r="N217" s="473"/>
      <c r="O217" s="473"/>
      <c r="P217" s="473"/>
      <c r="Q217" s="473"/>
      <c r="R217" s="473"/>
      <c r="S217" s="473"/>
      <c r="T217" s="473"/>
      <c r="U217" s="473"/>
      <c r="V217" s="473"/>
      <c r="W217" s="473"/>
    </row>
    <row r="218" spans="1:23" ht="11.25" customHeight="1" x14ac:dyDescent="0.25">
      <c r="A218" s="466" t="str">
        <f>'Org structure'!A6</f>
        <v>Vote 5 - Infrastructure Services</v>
      </c>
      <c r="B218" s="440"/>
      <c r="C218" s="503">
        <f t="shared" ref="C218:K218" si="43">SUM(C219:C228)</f>
        <v>0</v>
      </c>
      <c r="D218" s="444">
        <f t="shared" si="43"/>
        <v>3393288719.277081</v>
      </c>
      <c r="E218" s="441">
        <f t="shared" si="43"/>
        <v>3399787088.3111777</v>
      </c>
      <c r="F218" s="443">
        <f t="shared" si="43"/>
        <v>273553077.17999995</v>
      </c>
      <c r="G218" s="441">
        <f t="shared" si="43"/>
        <v>1885589506.4999986</v>
      </c>
      <c r="H218" s="443">
        <f t="shared" si="43"/>
        <v>1699893544.1555891</v>
      </c>
      <c r="I218" s="44">
        <f t="shared" si="39"/>
        <v>185695962.34440947</v>
      </c>
      <c r="J218" s="330">
        <f t="shared" si="38"/>
        <v>0.10923975973839745</v>
      </c>
      <c r="K218" s="442">
        <f t="shared" si="43"/>
        <v>3399787088.3111777</v>
      </c>
      <c r="L218" s="48"/>
      <c r="M218" s="473"/>
      <c r="N218" s="473"/>
      <c r="O218" s="473"/>
      <c r="P218" s="473"/>
      <c r="Q218" s="473"/>
      <c r="R218" s="473"/>
      <c r="S218" s="473"/>
      <c r="T218" s="473"/>
      <c r="U218" s="473"/>
      <c r="V218" s="473"/>
      <c r="W218" s="473"/>
    </row>
    <row r="219" spans="1:23" ht="11.25" customHeight="1" x14ac:dyDescent="0.25">
      <c r="A219" s="407" t="str">
        <f>'Org structure'!E47</f>
        <v>5.1 - Electricity</v>
      </c>
      <c r="B219" s="445"/>
      <c r="C219" s="394"/>
      <c r="D219" s="383">
        <v>1955147194.4755206</v>
      </c>
      <c r="E219" s="384">
        <v>1955147194.4755206</v>
      </c>
      <c r="F219" s="472">
        <v>155786784.32000002</v>
      </c>
      <c r="G219" s="384">
        <v>1199547483.9199986</v>
      </c>
      <c r="H219" s="472">
        <f t="shared" ref="H219:H223" si="44">E219/12*6</f>
        <v>977573597.23776031</v>
      </c>
      <c r="I219" s="44">
        <f t="shared" si="39"/>
        <v>221973886.68223834</v>
      </c>
      <c r="J219" s="330">
        <f t="shared" si="38"/>
        <v>0.22706616392816817</v>
      </c>
      <c r="K219" s="395">
        <f t="shared" ref="K219:K223" si="45">E219</f>
        <v>1955147194.4755206</v>
      </c>
      <c r="L219" s="48"/>
      <c r="M219" s="473"/>
      <c r="N219" s="473"/>
      <c r="O219" s="473"/>
      <c r="P219" s="473"/>
      <c r="Q219" s="473"/>
      <c r="R219" s="473"/>
      <c r="S219" s="473"/>
      <c r="T219" s="473"/>
      <c r="U219" s="473"/>
      <c r="V219" s="473"/>
      <c r="W219" s="473"/>
    </row>
    <row r="220" spans="1:23" ht="11.25" customHeight="1" x14ac:dyDescent="0.25">
      <c r="A220" s="407" t="str">
        <f>'Org structure'!E48</f>
        <v>5.2 - Project Management Office</v>
      </c>
      <c r="B220" s="445"/>
      <c r="C220" s="394"/>
      <c r="D220" s="383">
        <v>56522646.802353732</v>
      </c>
      <c r="E220" s="384">
        <v>56522646.802353732</v>
      </c>
      <c r="F220" s="472">
        <v>1854607.3699999996</v>
      </c>
      <c r="G220" s="384">
        <v>7628170.7200000007</v>
      </c>
      <c r="H220" s="472">
        <f t="shared" si="44"/>
        <v>28261323.40117687</v>
      </c>
      <c r="I220" s="44">
        <f t="shared" si="39"/>
        <v>-20633152.681176871</v>
      </c>
      <c r="J220" s="330">
        <f t="shared" si="38"/>
        <v>-0.73008444750742485</v>
      </c>
      <c r="K220" s="395">
        <f t="shared" si="45"/>
        <v>56522646.802353732</v>
      </c>
      <c r="L220" s="48"/>
      <c r="M220" s="473"/>
      <c r="N220" s="473"/>
      <c r="O220" s="473"/>
      <c r="P220" s="473"/>
      <c r="Q220" s="473"/>
      <c r="R220" s="473"/>
      <c r="S220" s="473"/>
      <c r="T220" s="473"/>
      <c r="U220" s="473"/>
      <c r="V220" s="473"/>
      <c r="W220" s="473"/>
    </row>
    <row r="221" spans="1:23" ht="11.25" customHeight="1" x14ac:dyDescent="0.25">
      <c r="A221" s="407" t="str">
        <f>'Org structure'!E49</f>
        <v>5.3 - Roads and Transportation</v>
      </c>
      <c r="B221" s="445"/>
      <c r="C221" s="394"/>
      <c r="D221" s="383">
        <v>94562737.919352904</v>
      </c>
      <c r="E221" s="384">
        <v>101061106.9534501</v>
      </c>
      <c r="F221" s="472">
        <v>20122301.310000006</v>
      </c>
      <c r="G221" s="384">
        <v>130522867.00000001</v>
      </c>
      <c r="H221" s="472">
        <f t="shared" si="44"/>
        <v>50530553.476725049</v>
      </c>
      <c r="I221" s="44">
        <f t="shared" si="39"/>
        <v>79992313.523274958</v>
      </c>
      <c r="J221" s="330">
        <f t="shared" si="38"/>
        <v>1.5830484334615558</v>
      </c>
      <c r="K221" s="395">
        <f t="shared" si="45"/>
        <v>101061106.9534501</v>
      </c>
      <c r="L221" s="48"/>
      <c r="M221" s="473"/>
      <c r="N221" s="473"/>
      <c r="O221" s="473"/>
      <c r="P221" s="473"/>
      <c r="Q221" s="473"/>
      <c r="R221" s="473"/>
      <c r="S221" s="473"/>
      <c r="T221" s="473"/>
      <c r="U221" s="473"/>
      <c r="V221" s="473"/>
      <c r="W221" s="473"/>
    </row>
    <row r="222" spans="1:23" ht="11.25" customHeight="1" x14ac:dyDescent="0.25">
      <c r="A222" s="407" t="str">
        <f>'Org structure'!E50</f>
        <v>5.4 - Water and Sanitation</v>
      </c>
      <c r="B222" s="445"/>
      <c r="C222" s="394"/>
      <c r="D222" s="383">
        <v>1266789806.54597</v>
      </c>
      <c r="E222" s="384">
        <v>1266789806.54597</v>
      </c>
      <c r="F222" s="472">
        <v>95593257.919999957</v>
      </c>
      <c r="G222" s="384">
        <v>547119649.66999984</v>
      </c>
      <c r="H222" s="472">
        <f t="shared" si="44"/>
        <v>633394903.27298498</v>
      </c>
      <c r="I222" s="44">
        <f t="shared" si="39"/>
        <v>-86275253.602985144</v>
      </c>
      <c r="J222" s="330">
        <f t="shared" si="38"/>
        <v>-0.13621084280465331</v>
      </c>
      <c r="K222" s="395">
        <f t="shared" si="45"/>
        <v>1266789806.54597</v>
      </c>
      <c r="L222" s="48"/>
      <c r="M222" s="473"/>
      <c r="N222" s="473"/>
      <c r="O222" s="473"/>
      <c r="P222" s="473"/>
      <c r="Q222" s="473"/>
      <c r="R222" s="473"/>
      <c r="S222" s="473"/>
      <c r="T222" s="473"/>
      <c r="U222" s="473"/>
      <c r="V222" s="473"/>
      <c r="W222" s="473"/>
    </row>
    <row r="223" spans="1:23" ht="11.25" customHeight="1" x14ac:dyDescent="0.25">
      <c r="A223" s="407" t="str">
        <f>'Org structure'!E51</f>
        <v xml:space="preserve">5.5 - General Manager: Infrastructure </v>
      </c>
      <c r="B223" s="445"/>
      <c r="C223" s="394"/>
      <c r="D223" s="383">
        <v>20266333.533883527</v>
      </c>
      <c r="E223" s="384">
        <v>20266333.533883527</v>
      </c>
      <c r="F223" s="472">
        <v>196126.26000000004</v>
      </c>
      <c r="G223" s="384">
        <v>771335.18999999983</v>
      </c>
      <c r="H223" s="472">
        <f t="shared" si="44"/>
        <v>10133166.766941763</v>
      </c>
      <c r="I223" s="44">
        <f t="shared" si="39"/>
        <v>-9361831.576941764</v>
      </c>
      <c r="J223" s="330">
        <f t="shared" si="38"/>
        <v>-0.92388014450562606</v>
      </c>
      <c r="K223" s="395">
        <f t="shared" si="45"/>
        <v>20266333.533883527</v>
      </c>
      <c r="L223" s="48"/>
      <c r="M223" s="473"/>
      <c r="N223" s="473"/>
      <c r="O223" s="473"/>
      <c r="P223" s="473"/>
      <c r="Q223" s="473"/>
      <c r="R223" s="473"/>
      <c r="S223" s="473"/>
      <c r="T223" s="473"/>
      <c r="U223" s="473"/>
      <c r="V223" s="473"/>
      <c r="W223" s="473"/>
    </row>
    <row r="224" spans="1:23" ht="11.25" hidden="1" customHeight="1" x14ac:dyDescent="0.25">
      <c r="A224" s="407">
        <f>'Org structure'!E52</f>
        <v>0</v>
      </c>
      <c r="B224" s="445"/>
      <c r="C224" s="394"/>
      <c r="D224" s="383"/>
      <c r="E224" s="384"/>
      <c r="F224" s="472"/>
      <c r="G224" s="384"/>
      <c r="H224" s="472"/>
      <c r="I224" s="44">
        <f t="shared" si="39"/>
        <v>0</v>
      </c>
      <c r="J224" s="330" t="str">
        <f t="shared" si="38"/>
        <v/>
      </c>
      <c r="K224" s="395"/>
      <c r="L224" s="48"/>
      <c r="M224" s="473"/>
      <c r="N224" s="473"/>
      <c r="O224" s="473"/>
      <c r="P224" s="473"/>
      <c r="Q224" s="473"/>
      <c r="R224" s="473"/>
      <c r="S224" s="473"/>
      <c r="T224" s="473"/>
      <c r="U224" s="473"/>
      <c r="V224" s="473"/>
      <c r="W224" s="473"/>
    </row>
    <row r="225" spans="1:23" ht="11.25" hidden="1" customHeight="1" x14ac:dyDescent="0.25">
      <c r="A225" s="407">
        <f>'Org structure'!E53</f>
        <v>0</v>
      </c>
      <c r="B225" s="445"/>
      <c r="C225" s="394"/>
      <c r="D225" s="383"/>
      <c r="E225" s="384"/>
      <c r="F225" s="472"/>
      <c r="G225" s="384"/>
      <c r="H225" s="472"/>
      <c r="I225" s="44">
        <f t="shared" si="39"/>
        <v>0</v>
      </c>
      <c r="J225" s="330" t="str">
        <f t="shared" si="38"/>
        <v/>
      </c>
      <c r="K225" s="395"/>
      <c r="L225" s="48"/>
      <c r="M225" s="473"/>
      <c r="N225" s="473"/>
      <c r="O225" s="473"/>
      <c r="P225" s="473"/>
      <c r="Q225" s="473"/>
      <c r="R225" s="473"/>
      <c r="S225" s="473"/>
      <c r="T225" s="473"/>
      <c r="U225" s="473"/>
      <c r="V225" s="473"/>
      <c r="W225" s="473"/>
    </row>
    <row r="226" spans="1:23" ht="11.25" hidden="1" customHeight="1" x14ac:dyDescent="0.25">
      <c r="A226" s="407">
        <f>'Org structure'!E54</f>
        <v>0</v>
      </c>
      <c r="B226" s="445"/>
      <c r="C226" s="394"/>
      <c r="D226" s="383"/>
      <c r="E226" s="384"/>
      <c r="F226" s="472"/>
      <c r="G226" s="384"/>
      <c r="H226" s="472"/>
      <c r="I226" s="44">
        <f t="shared" si="39"/>
        <v>0</v>
      </c>
      <c r="J226" s="330" t="str">
        <f t="shared" si="38"/>
        <v/>
      </c>
      <c r="K226" s="395"/>
      <c r="L226" s="48"/>
      <c r="M226" s="473"/>
      <c r="N226" s="473"/>
      <c r="O226" s="473"/>
      <c r="P226" s="473"/>
      <c r="Q226" s="473"/>
      <c r="R226" s="473"/>
      <c r="S226" s="473"/>
      <c r="T226" s="473"/>
      <c r="U226" s="473"/>
      <c r="V226" s="473"/>
      <c r="W226" s="473"/>
    </row>
    <row r="227" spans="1:23" ht="11.25" hidden="1" customHeight="1" x14ac:dyDescent="0.25">
      <c r="A227" s="407">
        <f>'Org structure'!E55</f>
        <v>0</v>
      </c>
      <c r="B227" s="445"/>
      <c r="C227" s="394"/>
      <c r="D227" s="383"/>
      <c r="E227" s="384"/>
      <c r="F227" s="472"/>
      <c r="G227" s="384"/>
      <c r="H227" s="472"/>
      <c r="I227" s="44">
        <f t="shared" si="39"/>
        <v>0</v>
      </c>
      <c r="J227" s="330" t="str">
        <f t="shared" si="38"/>
        <v/>
      </c>
      <c r="K227" s="395"/>
      <c r="L227" s="48"/>
      <c r="M227" s="473"/>
      <c r="N227" s="473"/>
      <c r="O227" s="473"/>
      <c r="P227" s="473"/>
      <c r="Q227" s="473"/>
      <c r="R227" s="473"/>
      <c r="S227" s="473"/>
      <c r="T227" s="473"/>
      <c r="U227" s="473"/>
      <c r="V227" s="473"/>
      <c r="W227" s="473"/>
    </row>
    <row r="228" spans="1:23" ht="11.25" hidden="1" customHeight="1" x14ac:dyDescent="0.25">
      <c r="A228" s="407">
        <f>'Org structure'!E56</f>
        <v>0</v>
      </c>
      <c r="B228" s="445"/>
      <c r="C228" s="394"/>
      <c r="D228" s="383"/>
      <c r="E228" s="384"/>
      <c r="F228" s="472"/>
      <c r="G228" s="384"/>
      <c r="H228" s="472"/>
      <c r="I228" s="44">
        <f t="shared" si="39"/>
        <v>0</v>
      </c>
      <c r="J228" s="330" t="str">
        <f t="shared" si="38"/>
        <v/>
      </c>
      <c r="K228" s="395"/>
      <c r="L228" s="48"/>
      <c r="M228" s="473"/>
      <c r="N228" s="473"/>
      <c r="O228" s="473"/>
      <c r="P228" s="473"/>
      <c r="Q228" s="473"/>
      <c r="R228" s="473"/>
      <c r="S228" s="473"/>
      <c r="T228" s="473"/>
      <c r="U228" s="473"/>
      <c r="V228" s="473"/>
      <c r="W228" s="473"/>
    </row>
    <row r="229" spans="1:23" ht="11.25" customHeight="1" x14ac:dyDescent="0.25">
      <c r="A229" s="466" t="str">
        <f>'Org structure'!A7</f>
        <v>Vote 6 - Sustainable Development and City Enterprises</v>
      </c>
      <c r="B229" s="440"/>
      <c r="C229" s="503">
        <f t="shared" ref="C229:K229" si="46">SUM(C230:C239)</f>
        <v>0</v>
      </c>
      <c r="D229" s="444">
        <f t="shared" si="46"/>
        <v>296205168.59786338</v>
      </c>
      <c r="E229" s="441">
        <f t="shared" si="46"/>
        <v>329805169.15482336</v>
      </c>
      <c r="F229" s="443">
        <f t="shared" si="46"/>
        <v>18629432.659999996</v>
      </c>
      <c r="G229" s="441">
        <f t="shared" si="46"/>
        <v>118024026.79999998</v>
      </c>
      <c r="H229" s="443">
        <f t="shared" si="46"/>
        <v>164902584.57741168</v>
      </c>
      <c r="I229" s="44">
        <f t="shared" si="39"/>
        <v>-46878557.777411699</v>
      </c>
      <c r="J229" s="330">
        <f t="shared" si="38"/>
        <v>-0.2842803094781397</v>
      </c>
      <c r="K229" s="442">
        <f t="shared" si="46"/>
        <v>329805169.15482336</v>
      </c>
      <c r="L229" s="48"/>
      <c r="M229" s="473"/>
      <c r="N229" s="473"/>
      <c r="O229" s="473"/>
      <c r="P229" s="473"/>
      <c r="Q229" s="473"/>
      <c r="R229" s="473"/>
      <c r="S229" s="473"/>
      <c r="T229" s="473"/>
      <c r="U229" s="473"/>
      <c r="V229" s="473"/>
      <c r="W229" s="473"/>
    </row>
    <row r="230" spans="1:23" ht="11.25" customHeight="1" x14ac:dyDescent="0.25">
      <c r="A230" s="407" t="str">
        <f>'Org structure'!E58</f>
        <v>6.1 - City Entities</v>
      </c>
      <c r="B230" s="445"/>
      <c r="C230" s="394"/>
      <c r="D230" s="383">
        <v>296205168.59786338</v>
      </c>
      <c r="E230" s="384">
        <v>329805169.15482336</v>
      </c>
      <c r="F230" s="472">
        <v>6086457.9399999976</v>
      </c>
      <c r="G230" s="384">
        <v>42336045.669999979</v>
      </c>
      <c r="H230" s="472">
        <f>E230/12*6</f>
        <v>164902584.57741168</v>
      </c>
      <c r="I230" s="44">
        <f t="shared" si="39"/>
        <v>-122566538.90741169</v>
      </c>
      <c r="J230" s="330">
        <f t="shared" si="38"/>
        <v>-0.74326633037018408</v>
      </c>
      <c r="K230" s="395">
        <f>E230</f>
        <v>329805169.15482336</v>
      </c>
      <c r="L230" s="48"/>
      <c r="M230" s="473"/>
      <c r="N230" s="473"/>
      <c r="O230" s="473"/>
      <c r="P230" s="473"/>
      <c r="Q230" s="473"/>
      <c r="R230" s="473"/>
      <c r="S230" s="473"/>
      <c r="T230" s="473"/>
      <c r="U230" s="473"/>
      <c r="V230" s="473"/>
      <c r="W230" s="473"/>
    </row>
    <row r="231" spans="1:23" ht="11.25" customHeight="1" x14ac:dyDescent="0.25">
      <c r="A231" s="407" t="str">
        <f>'Org structure'!E59</f>
        <v>6.2 - Development Services</v>
      </c>
      <c r="B231" s="445"/>
      <c r="C231" s="394"/>
      <c r="D231" s="383"/>
      <c r="E231" s="384"/>
      <c r="F231" s="472">
        <v>819080.42</v>
      </c>
      <c r="G231" s="384">
        <v>5129912.5600000005</v>
      </c>
      <c r="H231" s="742"/>
      <c r="I231" s="44">
        <f t="shared" si="39"/>
        <v>5129912.5600000005</v>
      </c>
      <c r="J231" s="330" t="e">
        <f t="shared" si="38"/>
        <v>#DIV/0!</v>
      </c>
      <c r="K231" s="395"/>
      <c r="L231" s="48"/>
      <c r="M231" s="473"/>
      <c r="N231" s="473"/>
      <c r="O231" s="473"/>
      <c r="P231" s="473"/>
      <c r="Q231" s="473"/>
      <c r="R231" s="473"/>
      <c r="S231" s="473"/>
      <c r="T231" s="473"/>
      <c r="U231" s="473"/>
      <c r="V231" s="473"/>
      <c r="W231" s="473"/>
    </row>
    <row r="232" spans="1:23" ht="11.25" customHeight="1" x14ac:dyDescent="0.25">
      <c r="A232" s="407" t="str">
        <f>'Org structure'!E60</f>
        <v>6.3 - Human Settlement Development</v>
      </c>
      <c r="B232" s="445"/>
      <c r="C232" s="394"/>
      <c r="D232" s="383"/>
      <c r="E232" s="384"/>
      <c r="F232" s="472">
        <v>5177924.950000002</v>
      </c>
      <c r="G232" s="384">
        <v>30810995.020000003</v>
      </c>
      <c r="H232" s="742"/>
      <c r="I232" s="44">
        <f t="shared" si="39"/>
        <v>30810995.020000003</v>
      </c>
      <c r="J232" s="330" t="e">
        <f t="shared" si="38"/>
        <v>#DIV/0!</v>
      </c>
      <c r="K232" s="395"/>
      <c r="L232" s="48"/>
      <c r="M232" s="473"/>
      <c r="N232" s="473"/>
      <c r="O232" s="473"/>
      <c r="P232" s="473"/>
      <c r="Q232" s="473"/>
      <c r="R232" s="473"/>
      <c r="S232" s="473"/>
      <c r="T232" s="473"/>
      <c r="U232" s="473"/>
      <c r="V232" s="473"/>
      <c r="W232" s="473"/>
    </row>
    <row r="233" spans="1:23" ht="11.25" customHeight="1" x14ac:dyDescent="0.25">
      <c r="A233" s="407" t="str">
        <f>'Org structure'!E61</f>
        <v>6.4 - Town Planning</v>
      </c>
      <c r="B233" s="445"/>
      <c r="C233" s="394"/>
      <c r="D233" s="383"/>
      <c r="E233" s="384"/>
      <c r="F233" s="472">
        <v>6394798.6999999974</v>
      </c>
      <c r="G233" s="384">
        <v>38738724.25</v>
      </c>
      <c r="H233" s="742"/>
      <c r="I233" s="44">
        <f t="shared" si="39"/>
        <v>38738724.25</v>
      </c>
      <c r="J233" s="330" t="e">
        <f t="shared" si="38"/>
        <v>#DIV/0!</v>
      </c>
      <c r="K233" s="395"/>
      <c r="L233" s="48"/>
      <c r="M233" s="473"/>
      <c r="N233" s="473"/>
      <c r="O233" s="473"/>
      <c r="P233" s="473"/>
      <c r="Q233" s="473"/>
      <c r="R233" s="473"/>
      <c r="S233" s="473"/>
      <c r="T233" s="473"/>
      <c r="U233" s="473"/>
      <c r="V233" s="473"/>
      <c r="W233" s="473"/>
    </row>
    <row r="234" spans="1:23" ht="11.25" customHeight="1" x14ac:dyDescent="0.25">
      <c r="A234" s="407" t="str">
        <f>'Org structure'!E62</f>
        <v>6.5 - General Manager: Sustainable Development and City Enterprises</v>
      </c>
      <c r="B234" s="445"/>
      <c r="C234" s="394"/>
      <c r="D234" s="383"/>
      <c r="E234" s="384"/>
      <c r="F234" s="472">
        <v>151170.64999999997</v>
      </c>
      <c r="G234" s="384">
        <v>1008349.3</v>
      </c>
      <c r="H234" s="742"/>
      <c r="I234" s="44">
        <f t="shared" si="39"/>
        <v>1008349.3</v>
      </c>
      <c r="J234" s="330" t="e">
        <f t="shared" si="38"/>
        <v>#DIV/0!</v>
      </c>
      <c r="K234" s="395"/>
      <c r="L234" s="48"/>
      <c r="M234" s="473"/>
      <c r="N234" s="473"/>
      <c r="O234" s="473"/>
      <c r="P234" s="473"/>
      <c r="Q234" s="473"/>
      <c r="R234" s="473"/>
      <c r="S234" s="473"/>
      <c r="T234" s="473"/>
      <c r="U234" s="473"/>
      <c r="V234" s="473"/>
      <c r="W234" s="473"/>
    </row>
    <row r="235" spans="1:23" ht="11.25" hidden="1" customHeight="1" x14ac:dyDescent="0.25">
      <c r="A235" s="407">
        <f>'Org structure'!E63</f>
        <v>0</v>
      </c>
      <c r="B235" s="445"/>
      <c r="C235" s="394"/>
      <c r="D235" s="383"/>
      <c r="E235" s="384"/>
      <c r="F235" s="472"/>
      <c r="G235" s="384"/>
      <c r="H235" s="472"/>
      <c r="I235" s="44">
        <f t="shared" si="39"/>
        <v>0</v>
      </c>
      <c r="J235" s="330" t="str">
        <f t="shared" si="38"/>
        <v/>
      </c>
      <c r="K235" s="395"/>
      <c r="L235" s="48"/>
      <c r="M235" s="473"/>
      <c r="N235" s="473"/>
      <c r="O235" s="473"/>
      <c r="P235" s="473"/>
      <c r="Q235" s="473"/>
      <c r="R235" s="473"/>
      <c r="S235" s="473"/>
      <c r="T235" s="473"/>
      <c r="U235" s="473"/>
      <c r="V235" s="473"/>
      <c r="W235" s="473"/>
    </row>
    <row r="236" spans="1:23" ht="11.25" hidden="1" customHeight="1" x14ac:dyDescent="0.25">
      <c r="A236" s="407">
        <f>'Org structure'!E64</f>
        <v>0</v>
      </c>
      <c r="B236" s="445"/>
      <c r="C236" s="394"/>
      <c r="D236" s="383"/>
      <c r="E236" s="384"/>
      <c r="F236" s="472"/>
      <c r="G236" s="384"/>
      <c r="H236" s="472"/>
      <c r="I236" s="44">
        <f t="shared" si="39"/>
        <v>0</v>
      </c>
      <c r="J236" s="330" t="str">
        <f t="shared" si="38"/>
        <v/>
      </c>
      <c r="K236" s="395"/>
      <c r="L236" s="48"/>
      <c r="M236" s="473"/>
      <c r="N236" s="473"/>
      <c r="O236" s="473"/>
      <c r="P236" s="473"/>
      <c r="Q236" s="473"/>
      <c r="R236" s="473"/>
      <c r="S236" s="473"/>
      <c r="T236" s="473"/>
      <c r="U236" s="473"/>
      <c r="V236" s="473"/>
      <c r="W236" s="473"/>
    </row>
    <row r="237" spans="1:23" ht="11.25" hidden="1" customHeight="1" x14ac:dyDescent="0.25">
      <c r="A237" s="407">
        <f>'Org structure'!E65</f>
        <v>0</v>
      </c>
      <c r="B237" s="445"/>
      <c r="C237" s="394"/>
      <c r="D237" s="383"/>
      <c r="E237" s="384"/>
      <c r="F237" s="472"/>
      <c r="G237" s="384"/>
      <c r="H237" s="472"/>
      <c r="I237" s="44">
        <f t="shared" si="39"/>
        <v>0</v>
      </c>
      <c r="J237" s="330" t="str">
        <f t="shared" si="38"/>
        <v/>
      </c>
      <c r="K237" s="395"/>
      <c r="L237" s="48"/>
      <c r="M237" s="473"/>
      <c r="N237" s="473"/>
      <c r="O237" s="473"/>
      <c r="P237" s="473"/>
      <c r="Q237" s="473"/>
      <c r="R237" s="473"/>
      <c r="S237" s="473"/>
      <c r="T237" s="473"/>
      <c r="U237" s="473"/>
      <c r="V237" s="473"/>
      <c r="W237" s="473"/>
    </row>
    <row r="238" spans="1:23" ht="11.25" hidden="1" customHeight="1" x14ac:dyDescent="0.25">
      <c r="A238" s="407">
        <f>'Org structure'!E66</f>
        <v>0</v>
      </c>
      <c r="B238" s="445"/>
      <c r="C238" s="394"/>
      <c r="D238" s="383"/>
      <c r="E238" s="384"/>
      <c r="F238" s="472"/>
      <c r="G238" s="384"/>
      <c r="H238" s="472"/>
      <c r="I238" s="44">
        <f t="shared" si="39"/>
        <v>0</v>
      </c>
      <c r="J238" s="330" t="str">
        <f t="shared" si="38"/>
        <v/>
      </c>
      <c r="K238" s="395"/>
      <c r="L238" s="48"/>
      <c r="M238" s="473"/>
      <c r="N238" s="473"/>
      <c r="O238" s="473"/>
      <c r="P238" s="473"/>
      <c r="Q238" s="473"/>
      <c r="R238" s="473"/>
      <c r="S238" s="473"/>
      <c r="T238" s="473"/>
      <c r="U238" s="473"/>
      <c r="V238" s="473"/>
      <c r="W238" s="473"/>
    </row>
    <row r="239" spans="1:23" ht="11.25" hidden="1" customHeight="1" x14ac:dyDescent="0.25">
      <c r="A239" s="407">
        <f>'Org structure'!E67</f>
        <v>0</v>
      </c>
      <c r="B239" s="445"/>
      <c r="C239" s="394"/>
      <c r="D239" s="383"/>
      <c r="E239" s="384"/>
      <c r="F239" s="472"/>
      <c r="G239" s="384"/>
      <c r="H239" s="472"/>
      <c r="I239" s="44">
        <f t="shared" si="39"/>
        <v>0</v>
      </c>
      <c r="J239" s="330" t="str">
        <f t="shared" si="38"/>
        <v/>
      </c>
      <c r="K239" s="395"/>
      <c r="L239" s="48"/>
      <c r="M239" s="473"/>
      <c r="N239" s="473"/>
      <c r="O239" s="473"/>
      <c r="P239" s="473"/>
      <c r="Q239" s="473"/>
      <c r="R239" s="473"/>
      <c r="S239" s="473"/>
      <c r="T239" s="473"/>
      <c r="U239" s="473"/>
      <c r="V239" s="473"/>
      <c r="W239" s="473"/>
    </row>
    <row r="240" spans="1:23" ht="11.25" hidden="1" customHeight="1" x14ac:dyDescent="0.25">
      <c r="A240" s="466" t="str">
        <f>'Org structure'!A8</f>
        <v>Vote 7 - [NAME OF VOTE 7]</v>
      </c>
      <c r="B240" s="440"/>
      <c r="C240" s="503">
        <f t="shared" ref="C240:K240" si="47">SUM(C241:C250)</f>
        <v>0</v>
      </c>
      <c r="D240" s="444">
        <f t="shared" si="47"/>
        <v>0</v>
      </c>
      <c r="E240" s="441">
        <f t="shared" si="47"/>
        <v>0</v>
      </c>
      <c r="F240" s="443">
        <f t="shared" si="47"/>
        <v>0</v>
      </c>
      <c r="G240" s="441">
        <f t="shared" si="47"/>
        <v>0</v>
      </c>
      <c r="H240" s="443">
        <f t="shared" si="47"/>
        <v>0</v>
      </c>
      <c r="I240" s="44">
        <f t="shared" si="39"/>
        <v>0</v>
      </c>
      <c r="J240" s="330" t="str">
        <f t="shared" si="38"/>
        <v/>
      </c>
      <c r="K240" s="442">
        <f t="shared" si="47"/>
        <v>0</v>
      </c>
      <c r="L240" s="48"/>
      <c r="M240" s="473"/>
      <c r="N240" s="473"/>
      <c r="O240" s="473"/>
      <c r="P240" s="473"/>
      <c r="Q240" s="473"/>
      <c r="R240" s="473"/>
      <c r="S240" s="473"/>
      <c r="T240" s="473"/>
      <c r="U240" s="473"/>
      <c r="V240" s="473"/>
      <c r="W240" s="473"/>
    </row>
    <row r="241" spans="1:23" ht="11.25" hidden="1" customHeight="1" x14ac:dyDescent="0.25">
      <c r="A241" s="407" t="str">
        <f>'Org structure'!E69</f>
        <v>7.1 - [Name of sub-vote]</v>
      </c>
      <c r="B241" s="445"/>
      <c r="C241" s="394"/>
      <c r="D241" s="383"/>
      <c r="E241" s="384"/>
      <c r="F241" s="472"/>
      <c r="G241" s="384"/>
      <c r="H241" s="472"/>
      <c r="I241" s="44">
        <f t="shared" si="39"/>
        <v>0</v>
      </c>
      <c r="J241" s="330" t="str">
        <f t="shared" si="38"/>
        <v/>
      </c>
      <c r="K241" s="395"/>
      <c r="L241" s="48"/>
      <c r="M241" s="473"/>
      <c r="N241" s="473"/>
      <c r="O241" s="473"/>
      <c r="P241" s="473"/>
      <c r="Q241" s="473"/>
      <c r="R241" s="473"/>
      <c r="S241" s="473"/>
      <c r="T241" s="473"/>
      <c r="U241" s="473"/>
      <c r="V241" s="473"/>
      <c r="W241" s="473"/>
    </row>
    <row r="242" spans="1:23" ht="11.25" hidden="1" customHeight="1" x14ac:dyDescent="0.25">
      <c r="A242" s="407">
        <f>'Org structure'!E70</f>
        <v>0</v>
      </c>
      <c r="B242" s="445"/>
      <c r="C242" s="394"/>
      <c r="D242" s="383"/>
      <c r="E242" s="384"/>
      <c r="F242" s="472"/>
      <c r="G242" s="384"/>
      <c r="H242" s="472"/>
      <c r="I242" s="44">
        <f t="shared" si="39"/>
        <v>0</v>
      </c>
      <c r="J242" s="330" t="str">
        <f t="shared" si="38"/>
        <v/>
      </c>
      <c r="K242" s="395"/>
      <c r="L242" s="48"/>
      <c r="M242" s="473"/>
      <c r="N242" s="473"/>
      <c r="O242" s="473"/>
      <c r="P242" s="473"/>
      <c r="Q242" s="473"/>
      <c r="R242" s="473"/>
      <c r="S242" s="473"/>
      <c r="T242" s="473"/>
      <c r="U242" s="473"/>
      <c r="V242" s="473"/>
      <c r="W242" s="473"/>
    </row>
    <row r="243" spans="1:23" ht="11.25" hidden="1" customHeight="1" x14ac:dyDescent="0.25">
      <c r="A243" s="407">
        <f>'Org structure'!E71</f>
        <v>0</v>
      </c>
      <c r="B243" s="445"/>
      <c r="C243" s="394"/>
      <c r="D243" s="383"/>
      <c r="E243" s="384"/>
      <c r="F243" s="472"/>
      <c r="G243" s="384"/>
      <c r="H243" s="472"/>
      <c r="I243" s="44">
        <f t="shared" si="39"/>
        <v>0</v>
      </c>
      <c r="J243" s="330" t="str">
        <f t="shared" si="38"/>
        <v/>
      </c>
      <c r="K243" s="395"/>
      <c r="L243" s="48"/>
      <c r="M243" s="473"/>
      <c r="N243" s="473"/>
      <c r="O243" s="473"/>
      <c r="P243" s="473"/>
      <c r="Q243" s="473"/>
      <c r="R243" s="473"/>
      <c r="S243" s="473"/>
      <c r="T243" s="473"/>
      <c r="U243" s="473"/>
      <c r="V243" s="473"/>
      <c r="W243" s="473"/>
    </row>
    <row r="244" spans="1:23" ht="11.25" hidden="1" customHeight="1" x14ac:dyDescent="0.25">
      <c r="A244" s="407">
        <f>'Org structure'!E72</f>
        <v>0</v>
      </c>
      <c r="B244" s="445"/>
      <c r="C244" s="394"/>
      <c r="D244" s="383"/>
      <c r="E244" s="384"/>
      <c r="F244" s="472"/>
      <c r="G244" s="384"/>
      <c r="H244" s="472"/>
      <c r="I244" s="44">
        <f t="shared" si="39"/>
        <v>0</v>
      </c>
      <c r="J244" s="330" t="str">
        <f t="shared" si="38"/>
        <v/>
      </c>
      <c r="K244" s="395"/>
      <c r="L244" s="48"/>
      <c r="M244" s="473"/>
      <c r="N244" s="473"/>
      <c r="O244" s="473"/>
      <c r="P244" s="473"/>
      <c r="Q244" s="473"/>
      <c r="R244" s="473"/>
      <c r="S244" s="473"/>
      <c r="T244" s="473"/>
      <c r="U244" s="473"/>
      <c r="V244" s="473"/>
      <c r="W244" s="473"/>
    </row>
    <row r="245" spans="1:23" ht="11.25" hidden="1" customHeight="1" x14ac:dyDescent="0.25">
      <c r="A245" s="407">
        <f>'Org structure'!E73</f>
        <v>0</v>
      </c>
      <c r="B245" s="445"/>
      <c r="C245" s="394"/>
      <c r="D245" s="383"/>
      <c r="E245" s="384"/>
      <c r="F245" s="472"/>
      <c r="G245" s="384"/>
      <c r="H245" s="472"/>
      <c r="I245" s="44">
        <f t="shared" si="39"/>
        <v>0</v>
      </c>
      <c r="J245" s="330" t="str">
        <f t="shared" si="38"/>
        <v/>
      </c>
      <c r="K245" s="395"/>
      <c r="L245" s="48"/>
      <c r="M245" s="473"/>
      <c r="N245" s="473"/>
      <c r="O245" s="473"/>
      <c r="P245" s="473"/>
      <c r="Q245" s="473"/>
      <c r="R245" s="473"/>
      <c r="S245" s="473"/>
      <c r="T245" s="473"/>
      <c r="U245" s="473"/>
      <c r="V245" s="473"/>
      <c r="W245" s="473"/>
    </row>
    <row r="246" spans="1:23" ht="11.25" hidden="1" customHeight="1" x14ac:dyDescent="0.25">
      <c r="A246" s="407">
        <f>'Org structure'!E74</f>
        <v>0</v>
      </c>
      <c r="B246" s="445"/>
      <c r="C246" s="394"/>
      <c r="D246" s="383"/>
      <c r="E246" s="384"/>
      <c r="F246" s="472"/>
      <c r="G246" s="384"/>
      <c r="H246" s="472"/>
      <c r="I246" s="44">
        <f t="shared" si="39"/>
        <v>0</v>
      </c>
      <c r="J246" s="330" t="str">
        <f t="shared" si="38"/>
        <v/>
      </c>
      <c r="K246" s="395"/>
      <c r="L246" s="48"/>
      <c r="M246" s="473"/>
      <c r="N246" s="473"/>
      <c r="O246" s="473"/>
      <c r="P246" s="473"/>
      <c r="Q246" s="473"/>
      <c r="R246" s="473"/>
      <c r="S246" s="473"/>
      <c r="T246" s="473"/>
      <c r="U246" s="473"/>
      <c r="V246" s="473"/>
      <c r="W246" s="473"/>
    </row>
    <row r="247" spans="1:23" ht="11.25" hidden="1" customHeight="1" x14ac:dyDescent="0.25">
      <c r="A247" s="407">
        <f>'Org structure'!E75</f>
        <v>0</v>
      </c>
      <c r="B247" s="445"/>
      <c r="C247" s="394"/>
      <c r="D247" s="383"/>
      <c r="E247" s="384"/>
      <c r="F247" s="472"/>
      <c r="G247" s="384"/>
      <c r="H247" s="472"/>
      <c r="I247" s="44">
        <f t="shared" si="39"/>
        <v>0</v>
      </c>
      <c r="J247" s="330" t="str">
        <f t="shared" si="38"/>
        <v/>
      </c>
      <c r="K247" s="395"/>
      <c r="L247" s="48"/>
      <c r="M247" s="473"/>
      <c r="N247" s="473"/>
      <c r="O247" s="473"/>
      <c r="P247" s="473"/>
      <c r="Q247" s="473"/>
      <c r="R247" s="473"/>
      <c r="S247" s="473"/>
      <c r="T247" s="473"/>
      <c r="U247" s="473"/>
      <c r="V247" s="473"/>
      <c r="W247" s="473"/>
    </row>
    <row r="248" spans="1:23" ht="11.25" hidden="1" customHeight="1" x14ac:dyDescent="0.25">
      <c r="A248" s="407">
        <f>'Org structure'!E76</f>
        <v>0</v>
      </c>
      <c r="B248" s="445"/>
      <c r="C248" s="394"/>
      <c r="D248" s="383"/>
      <c r="E248" s="384"/>
      <c r="F248" s="472"/>
      <c r="G248" s="384"/>
      <c r="H248" s="472"/>
      <c r="I248" s="44">
        <f t="shared" si="39"/>
        <v>0</v>
      </c>
      <c r="J248" s="330" t="str">
        <f t="shared" si="38"/>
        <v/>
      </c>
      <c r="K248" s="395"/>
      <c r="L248" s="48"/>
      <c r="M248" s="473"/>
      <c r="N248" s="473"/>
      <c r="O248" s="473"/>
      <c r="P248" s="473"/>
      <c r="Q248" s="473"/>
      <c r="R248" s="473"/>
      <c r="S248" s="473"/>
      <c r="T248" s="473"/>
      <c r="U248" s="473"/>
      <c r="V248" s="473"/>
      <c r="W248" s="473"/>
    </row>
    <row r="249" spans="1:23" ht="11.25" hidden="1" customHeight="1" x14ac:dyDescent="0.25">
      <c r="A249" s="407">
        <f>'Org structure'!E77</f>
        <v>0</v>
      </c>
      <c r="B249" s="445"/>
      <c r="C249" s="394"/>
      <c r="D249" s="383"/>
      <c r="E249" s="384"/>
      <c r="F249" s="472"/>
      <c r="G249" s="384"/>
      <c r="H249" s="472"/>
      <c r="I249" s="44">
        <f t="shared" si="39"/>
        <v>0</v>
      </c>
      <c r="J249" s="330" t="str">
        <f t="shared" si="38"/>
        <v/>
      </c>
      <c r="K249" s="395"/>
      <c r="L249" s="48"/>
      <c r="M249" s="473"/>
      <c r="N249" s="473"/>
      <c r="O249" s="473"/>
      <c r="P249" s="473"/>
      <c r="Q249" s="473"/>
      <c r="R249" s="473"/>
      <c r="S249" s="473"/>
      <c r="T249" s="473"/>
      <c r="U249" s="473"/>
      <c r="V249" s="473"/>
      <c r="W249" s="473"/>
    </row>
    <row r="250" spans="1:23" ht="11.25" hidden="1" customHeight="1" x14ac:dyDescent="0.25">
      <c r="A250" s="407">
        <f>'Org structure'!E78</f>
        <v>0</v>
      </c>
      <c r="B250" s="445"/>
      <c r="C250" s="394"/>
      <c r="D250" s="383"/>
      <c r="E250" s="384"/>
      <c r="F250" s="472"/>
      <c r="G250" s="384"/>
      <c r="H250" s="472"/>
      <c r="I250" s="44">
        <f t="shared" si="39"/>
        <v>0</v>
      </c>
      <c r="J250" s="330" t="str">
        <f t="shared" si="38"/>
        <v/>
      </c>
      <c r="K250" s="395"/>
      <c r="L250" s="48"/>
      <c r="M250" s="473"/>
      <c r="N250" s="473"/>
      <c r="O250" s="473"/>
      <c r="P250" s="473"/>
      <c r="Q250" s="473"/>
      <c r="R250" s="473"/>
      <c r="S250" s="473"/>
      <c r="T250" s="473"/>
      <c r="U250" s="473"/>
      <c r="V250" s="473"/>
      <c r="W250" s="473"/>
    </row>
    <row r="251" spans="1:23" ht="11.25" hidden="1" customHeight="1" x14ac:dyDescent="0.25">
      <c r="A251" s="466" t="str">
        <f>'Org structure'!A9</f>
        <v>Vote 8 - [NAME OF VOTE 8]</v>
      </c>
      <c r="B251" s="445"/>
      <c r="C251" s="503">
        <f t="shared" ref="C251:K251" si="48">SUM(C252:C261)</f>
        <v>0</v>
      </c>
      <c r="D251" s="444">
        <f t="shared" si="48"/>
        <v>0</v>
      </c>
      <c r="E251" s="441">
        <f t="shared" si="48"/>
        <v>0</v>
      </c>
      <c r="F251" s="443">
        <f t="shared" si="48"/>
        <v>0</v>
      </c>
      <c r="G251" s="441">
        <f t="shared" si="48"/>
        <v>0</v>
      </c>
      <c r="H251" s="443">
        <f t="shared" si="48"/>
        <v>0</v>
      </c>
      <c r="I251" s="44">
        <f t="shared" si="39"/>
        <v>0</v>
      </c>
      <c r="J251" s="330" t="str">
        <f t="shared" si="38"/>
        <v/>
      </c>
      <c r="K251" s="442">
        <f t="shared" si="48"/>
        <v>0</v>
      </c>
      <c r="L251" s="48"/>
      <c r="M251" s="473"/>
      <c r="N251" s="473"/>
      <c r="O251" s="473"/>
      <c r="P251" s="473"/>
      <c r="Q251" s="473"/>
      <c r="R251" s="473"/>
      <c r="S251" s="473"/>
      <c r="T251" s="473"/>
      <c r="U251" s="473"/>
      <c r="V251" s="473"/>
      <c r="W251" s="473"/>
    </row>
    <row r="252" spans="1:23" ht="11.25" hidden="1" customHeight="1" x14ac:dyDescent="0.25">
      <c r="A252" s="407" t="str">
        <f>'Org structure'!E80</f>
        <v>8.1 - [Name of sub-vote]</v>
      </c>
      <c r="B252" s="445"/>
      <c r="C252" s="394"/>
      <c r="D252" s="383"/>
      <c r="E252" s="384"/>
      <c r="F252" s="472"/>
      <c r="G252" s="384"/>
      <c r="H252" s="472"/>
      <c r="I252" s="44">
        <f t="shared" si="39"/>
        <v>0</v>
      </c>
      <c r="J252" s="330" t="str">
        <f t="shared" si="38"/>
        <v/>
      </c>
      <c r="K252" s="395"/>
      <c r="L252" s="48"/>
      <c r="M252" s="473"/>
      <c r="N252" s="473"/>
      <c r="O252" s="473"/>
      <c r="P252" s="473"/>
      <c r="Q252" s="473"/>
      <c r="R252" s="473"/>
      <c r="S252" s="473"/>
      <c r="T252" s="473"/>
      <c r="U252" s="473"/>
      <c r="V252" s="473"/>
      <c r="W252" s="473"/>
    </row>
    <row r="253" spans="1:23" ht="11.25" hidden="1" customHeight="1" x14ac:dyDescent="0.25">
      <c r="A253" s="407">
        <f>'Org structure'!E81</f>
        <v>0</v>
      </c>
      <c r="B253" s="445"/>
      <c r="C253" s="394"/>
      <c r="D253" s="383"/>
      <c r="E253" s="384"/>
      <c r="F253" s="472"/>
      <c r="G253" s="384"/>
      <c r="H253" s="472"/>
      <c r="I253" s="44">
        <f t="shared" si="39"/>
        <v>0</v>
      </c>
      <c r="J253" s="330" t="str">
        <f t="shared" si="38"/>
        <v/>
      </c>
      <c r="K253" s="395"/>
      <c r="L253" s="48"/>
      <c r="M253" s="473"/>
      <c r="N253" s="473"/>
      <c r="O253" s="473"/>
      <c r="P253" s="473"/>
      <c r="Q253" s="473"/>
      <c r="R253" s="473"/>
      <c r="S253" s="473"/>
      <c r="T253" s="473"/>
      <c r="U253" s="473"/>
      <c r="V253" s="473"/>
      <c r="W253" s="473"/>
    </row>
    <row r="254" spans="1:23" ht="11.25" hidden="1" customHeight="1" x14ac:dyDescent="0.25">
      <c r="A254" s="407">
        <f>'Org structure'!E82</f>
        <v>0</v>
      </c>
      <c r="B254" s="445"/>
      <c r="C254" s="394"/>
      <c r="D254" s="383"/>
      <c r="E254" s="384"/>
      <c r="F254" s="472"/>
      <c r="G254" s="384"/>
      <c r="H254" s="472"/>
      <c r="I254" s="44">
        <f t="shared" si="39"/>
        <v>0</v>
      </c>
      <c r="J254" s="330" t="str">
        <f t="shared" si="38"/>
        <v/>
      </c>
      <c r="K254" s="395"/>
      <c r="L254" s="48"/>
      <c r="M254" s="473"/>
      <c r="N254" s="473"/>
      <c r="O254" s="473"/>
      <c r="P254" s="473"/>
      <c r="Q254" s="473"/>
      <c r="R254" s="473"/>
      <c r="S254" s="473"/>
      <c r="T254" s="473"/>
      <c r="U254" s="473"/>
      <c r="V254" s="473"/>
      <c r="W254" s="473"/>
    </row>
    <row r="255" spans="1:23" ht="11.25" hidden="1" customHeight="1" x14ac:dyDescent="0.25">
      <c r="A255" s="407">
        <f>'Org structure'!E83</f>
        <v>0</v>
      </c>
      <c r="B255" s="445"/>
      <c r="C255" s="394"/>
      <c r="D255" s="383"/>
      <c r="E255" s="384"/>
      <c r="F255" s="472"/>
      <c r="G255" s="384"/>
      <c r="H255" s="472"/>
      <c r="I255" s="44">
        <f t="shared" si="39"/>
        <v>0</v>
      </c>
      <c r="J255" s="330" t="str">
        <f t="shared" si="38"/>
        <v/>
      </c>
      <c r="K255" s="395"/>
      <c r="L255" s="48"/>
      <c r="M255" s="473"/>
      <c r="N255" s="473"/>
      <c r="O255" s="473"/>
      <c r="P255" s="473"/>
      <c r="Q255" s="473"/>
      <c r="R255" s="473"/>
      <c r="S255" s="473"/>
      <c r="T255" s="473"/>
      <c r="U255" s="473"/>
      <c r="V255" s="473"/>
      <c r="W255" s="473"/>
    </row>
    <row r="256" spans="1:23" ht="11.25" hidden="1" customHeight="1" x14ac:dyDescent="0.25">
      <c r="A256" s="407">
        <f>'Org structure'!E84</f>
        <v>0</v>
      </c>
      <c r="B256" s="445"/>
      <c r="C256" s="394"/>
      <c r="D256" s="383"/>
      <c r="E256" s="384"/>
      <c r="F256" s="472"/>
      <c r="G256" s="384"/>
      <c r="H256" s="472"/>
      <c r="I256" s="44">
        <f t="shared" si="39"/>
        <v>0</v>
      </c>
      <c r="J256" s="330" t="str">
        <f t="shared" si="38"/>
        <v/>
      </c>
      <c r="K256" s="395"/>
      <c r="L256" s="48"/>
      <c r="M256" s="473"/>
      <c r="N256" s="473"/>
      <c r="O256" s="473"/>
      <c r="P256" s="473"/>
      <c r="Q256" s="473"/>
      <c r="R256" s="473"/>
      <c r="S256" s="473"/>
      <c r="T256" s="473"/>
      <c r="U256" s="473"/>
      <c r="V256" s="473"/>
      <c r="W256" s="473"/>
    </row>
    <row r="257" spans="1:23" ht="11.25" hidden="1" customHeight="1" x14ac:dyDescent="0.25">
      <c r="A257" s="407">
        <f>'Org structure'!E85</f>
        <v>0</v>
      </c>
      <c r="B257" s="445"/>
      <c r="C257" s="394"/>
      <c r="D257" s="383"/>
      <c r="E257" s="384"/>
      <c r="F257" s="472"/>
      <c r="G257" s="384"/>
      <c r="H257" s="472"/>
      <c r="I257" s="44">
        <f t="shared" si="39"/>
        <v>0</v>
      </c>
      <c r="J257" s="330" t="str">
        <f t="shared" si="38"/>
        <v/>
      </c>
      <c r="K257" s="395"/>
      <c r="L257" s="48"/>
      <c r="M257" s="473"/>
      <c r="N257" s="473"/>
      <c r="O257" s="473"/>
      <c r="P257" s="473"/>
      <c r="Q257" s="473"/>
      <c r="R257" s="473"/>
      <c r="S257" s="473"/>
      <c r="T257" s="473"/>
      <c r="U257" s="473"/>
      <c r="V257" s="473"/>
      <c r="W257" s="473"/>
    </row>
    <row r="258" spans="1:23" ht="11.25" hidden="1" customHeight="1" x14ac:dyDescent="0.25">
      <c r="A258" s="407">
        <f>'Org structure'!E86</f>
        <v>0</v>
      </c>
      <c r="B258" s="445"/>
      <c r="C258" s="394"/>
      <c r="D258" s="383"/>
      <c r="E258" s="384"/>
      <c r="F258" s="472"/>
      <c r="G258" s="384"/>
      <c r="H258" s="472"/>
      <c r="I258" s="44">
        <f t="shared" si="39"/>
        <v>0</v>
      </c>
      <c r="J258" s="330" t="str">
        <f t="shared" si="38"/>
        <v/>
      </c>
      <c r="K258" s="395"/>
      <c r="L258" s="48"/>
      <c r="M258" s="473"/>
      <c r="N258" s="473"/>
      <c r="O258" s="473"/>
      <c r="P258" s="473"/>
      <c r="Q258" s="473"/>
      <c r="R258" s="473"/>
      <c r="S258" s="473"/>
      <c r="T258" s="473"/>
      <c r="U258" s="473"/>
      <c r="V258" s="473"/>
      <c r="W258" s="473"/>
    </row>
    <row r="259" spans="1:23" ht="11.25" hidden="1" customHeight="1" x14ac:dyDescent="0.25">
      <c r="A259" s="407">
        <f>'Org structure'!E87</f>
        <v>0</v>
      </c>
      <c r="B259" s="445"/>
      <c r="C259" s="394"/>
      <c r="D259" s="383"/>
      <c r="E259" s="384"/>
      <c r="F259" s="472"/>
      <c r="G259" s="384"/>
      <c r="H259" s="472"/>
      <c r="I259" s="44">
        <f t="shared" si="39"/>
        <v>0</v>
      </c>
      <c r="J259" s="330" t="str">
        <f t="shared" si="38"/>
        <v/>
      </c>
      <c r="K259" s="395"/>
      <c r="L259" s="48"/>
      <c r="M259" s="473"/>
      <c r="N259" s="473"/>
      <c r="O259" s="473"/>
      <c r="P259" s="473"/>
      <c r="Q259" s="473"/>
      <c r="R259" s="473"/>
      <c r="S259" s="473"/>
      <c r="T259" s="473"/>
      <c r="U259" s="473"/>
      <c r="V259" s="473"/>
      <c r="W259" s="473"/>
    </row>
    <row r="260" spans="1:23" ht="11.25" hidden="1" customHeight="1" x14ac:dyDescent="0.25">
      <c r="A260" s="407">
        <f>'Org structure'!E88</f>
        <v>0</v>
      </c>
      <c r="B260" s="445"/>
      <c r="C260" s="394"/>
      <c r="D260" s="383"/>
      <c r="E260" s="384"/>
      <c r="F260" s="472"/>
      <c r="G260" s="384"/>
      <c r="H260" s="472"/>
      <c r="I260" s="44">
        <f t="shared" si="39"/>
        <v>0</v>
      </c>
      <c r="J260" s="330" t="str">
        <f t="shared" si="38"/>
        <v/>
      </c>
      <c r="K260" s="395"/>
      <c r="L260" s="48"/>
      <c r="M260" s="473"/>
      <c r="N260" s="473"/>
      <c r="O260" s="473"/>
      <c r="P260" s="473"/>
      <c r="Q260" s="473"/>
      <c r="R260" s="473"/>
      <c r="S260" s="473"/>
      <c r="T260" s="473"/>
      <c r="U260" s="473"/>
      <c r="V260" s="473"/>
      <c r="W260" s="473"/>
    </row>
    <row r="261" spans="1:23" ht="11.25" hidden="1" customHeight="1" x14ac:dyDescent="0.25">
      <c r="A261" s="407">
        <f>'Org structure'!E89</f>
        <v>0</v>
      </c>
      <c r="B261" s="445"/>
      <c r="C261" s="394"/>
      <c r="D261" s="383"/>
      <c r="E261" s="384"/>
      <c r="F261" s="472"/>
      <c r="G261" s="384"/>
      <c r="H261" s="472"/>
      <c r="I261" s="44">
        <f t="shared" si="39"/>
        <v>0</v>
      </c>
      <c r="J261" s="330" t="str">
        <f t="shared" si="38"/>
        <v/>
      </c>
      <c r="K261" s="395"/>
      <c r="L261" s="48"/>
      <c r="M261" s="473"/>
      <c r="N261" s="473"/>
      <c r="O261" s="473"/>
      <c r="P261" s="473"/>
      <c r="Q261" s="473"/>
      <c r="R261" s="473"/>
      <c r="S261" s="473"/>
      <c r="T261" s="473"/>
      <c r="U261" s="473"/>
      <c r="V261" s="473"/>
      <c r="W261" s="473"/>
    </row>
    <row r="262" spans="1:23" ht="11.25" hidden="1" customHeight="1" x14ac:dyDescent="0.25">
      <c r="A262" s="466" t="str">
        <f>'Org structure'!A10</f>
        <v>Vote 9 - [NAME OF VOTE 9]</v>
      </c>
      <c r="B262" s="445"/>
      <c r="C262" s="503">
        <f t="shared" ref="C262:K262" si="49">SUM(C263:C272)</f>
        <v>0</v>
      </c>
      <c r="D262" s="444">
        <f t="shared" si="49"/>
        <v>0</v>
      </c>
      <c r="E262" s="441">
        <f t="shared" si="49"/>
        <v>0</v>
      </c>
      <c r="F262" s="443">
        <f t="shared" si="49"/>
        <v>0</v>
      </c>
      <c r="G262" s="441">
        <f t="shared" si="49"/>
        <v>0</v>
      </c>
      <c r="H262" s="443">
        <f t="shared" si="49"/>
        <v>0</v>
      </c>
      <c r="I262" s="44">
        <f t="shared" ref="I262:I325" si="50">G262-H262</f>
        <v>0</v>
      </c>
      <c r="J262" s="330" t="str">
        <f t="shared" ref="J262:J325" si="51">IF(I262=0,"",I262/H262)</f>
        <v/>
      </c>
      <c r="K262" s="442">
        <f t="shared" si="49"/>
        <v>0</v>
      </c>
      <c r="L262" s="48"/>
      <c r="M262" s="473"/>
      <c r="N262" s="473"/>
      <c r="O262" s="473"/>
      <c r="P262" s="473"/>
      <c r="Q262" s="473"/>
      <c r="R262" s="473"/>
      <c r="S262" s="473"/>
      <c r="T262" s="473"/>
      <c r="U262" s="473"/>
      <c r="V262" s="473"/>
      <c r="W262" s="473"/>
    </row>
    <row r="263" spans="1:23" ht="11.25" hidden="1" customHeight="1" x14ac:dyDescent="0.25">
      <c r="A263" s="407" t="str">
        <f>'Org structure'!E91</f>
        <v>9.1 - [Name of sub-vote]</v>
      </c>
      <c r="B263" s="445"/>
      <c r="C263" s="394"/>
      <c r="D263" s="383"/>
      <c r="E263" s="384"/>
      <c r="F263" s="472"/>
      <c r="G263" s="384"/>
      <c r="H263" s="472"/>
      <c r="I263" s="44">
        <f t="shared" si="50"/>
        <v>0</v>
      </c>
      <c r="J263" s="330" t="str">
        <f t="shared" si="51"/>
        <v/>
      </c>
      <c r="K263" s="395"/>
      <c r="L263" s="48"/>
      <c r="M263" s="473"/>
      <c r="N263" s="473"/>
      <c r="O263" s="473"/>
      <c r="P263" s="473"/>
      <c r="Q263" s="473"/>
      <c r="R263" s="473"/>
      <c r="S263" s="473"/>
      <c r="T263" s="473"/>
      <c r="U263" s="473"/>
      <c r="V263" s="473"/>
      <c r="W263" s="473"/>
    </row>
    <row r="264" spans="1:23" ht="11.25" hidden="1" customHeight="1" x14ac:dyDescent="0.25">
      <c r="A264" s="407">
        <f>'Org structure'!E92</f>
        <v>0</v>
      </c>
      <c r="B264" s="445"/>
      <c r="C264" s="394"/>
      <c r="D264" s="383"/>
      <c r="E264" s="384"/>
      <c r="F264" s="472"/>
      <c r="G264" s="384"/>
      <c r="H264" s="472"/>
      <c r="I264" s="44">
        <f t="shared" si="50"/>
        <v>0</v>
      </c>
      <c r="J264" s="330" t="str">
        <f t="shared" si="51"/>
        <v/>
      </c>
      <c r="K264" s="395"/>
      <c r="L264" s="48"/>
      <c r="M264" s="473"/>
      <c r="N264" s="473"/>
      <c r="O264" s="473"/>
      <c r="P264" s="473"/>
      <c r="Q264" s="473"/>
      <c r="R264" s="473"/>
      <c r="S264" s="473"/>
      <c r="T264" s="473"/>
      <c r="U264" s="473"/>
      <c r="V264" s="473"/>
      <c r="W264" s="473"/>
    </row>
    <row r="265" spans="1:23" ht="11.25" hidden="1" customHeight="1" x14ac:dyDescent="0.25">
      <c r="A265" s="407">
        <f>'Org structure'!E93</f>
        <v>0</v>
      </c>
      <c r="B265" s="445"/>
      <c r="C265" s="394"/>
      <c r="D265" s="383"/>
      <c r="E265" s="384"/>
      <c r="F265" s="472"/>
      <c r="G265" s="384"/>
      <c r="H265" s="472"/>
      <c r="I265" s="44">
        <f t="shared" si="50"/>
        <v>0</v>
      </c>
      <c r="J265" s="330" t="str">
        <f t="shared" si="51"/>
        <v/>
      </c>
      <c r="K265" s="395"/>
      <c r="L265" s="48"/>
      <c r="M265" s="473"/>
      <c r="N265" s="473"/>
      <c r="O265" s="473"/>
      <c r="P265" s="473"/>
      <c r="Q265" s="473"/>
      <c r="R265" s="473"/>
      <c r="S265" s="473"/>
      <c r="T265" s="473"/>
      <c r="U265" s="473"/>
      <c r="V265" s="473"/>
      <c r="W265" s="473"/>
    </row>
    <row r="266" spans="1:23" ht="11.25" hidden="1" customHeight="1" x14ac:dyDescent="0.25">
      <c r="A266" s="407">
        <f>'Org structure'!E94</f>
        <v>0</v>
      </c>
      <c r="B266" s="445"/>
      <c r="C266" s="394"/>
      <c r="D266" s="383"/>
      <c r="E266" s="384"/>
      <c r="F266" s="472"/>
      <c r="G266" s="384"/>
      <c r="H266" s="472"/>
      <c r="I266" s="44">
        <f t="shared" si="50"/>
        <v>0</v>
      </c>
      <c r="J266" s="330" t="str">
        <f t="shared" si="51"/>
        <v/>
      </c>
      <c r="K266" s="395"/>
      <c r="L266" s="48"/>
      <c r="M266" s="473"/>
      <c r="N266" s="473"/>
      <c r="O266" s="473"/>
      <c r="P266" s="473"/>
      <c r="Q266" s="473"/>
      <c r="R266" s="473"/>
      <c r="S266" s="473"/>
      <c r="T266" s="473"/>
      <c r="U266" s="473"/>
      <c r="V266" s="473"/>
      <c r="W266" s="473"/>
    </row>
    <row r="267" spans="1:23" ht="11.25" hidden="1" customHeight="1" x14ac:dyDescent="0.25">
      <c r="A267" s="407">
        <f>'Org structure'!E95</f>
        <v>0</v>
      </c>
      <c r="B267" s="445"/>
      <c r="C267" s="394"/>
      <c r="D267" s="383"/>
      <c r="E267" s="384"/>
      <c r="F267" s="472"/>
      <c r="G267" s="384"/>
      <c r="H267" s="472"/>
      <c r="I267" s="44">
        <f t="shared" si="50"/>
        <v>0</v>
      </c>
      <c r="J267" s="330" t="str">
        <f t="shared" si="51"/>
        <v/>
      </c>
      <c r="K267" s="395"/>
      <c r="L267" s="48"/>
      <c r="M267" s="473"/>
      <c r="N267" s="473"/>
      <c r="O267" s="473"/>
      <c r="P267" s="473"/>
      <c r="Q267" s="473"/>
      <c r="R267" s="473"/>
      <c r="S267" s="473"/>
      <c r="T267" s="473"/>
      <c r="U267" s="473"/>
      <c r="V267" s="473"/>
      <c r="W267" s="473"/>
    </row>
    <row r="268" spans="1:23" ht="11.25" hidden="1" customHeight="1" x14ac:dyDescent="0.25">
      <c r="A268" s="407">
        <f>'Org structure'!E96</f>
        <v>0</v>
      </c>
      <c r="B268" s="445"/>
      <c r="C268" s="394"/>
      <c r="D268" s="383"/>
      <c r="E268" s="384"/>
      <c r="F268" s="472"/>
      <c r="G268" s="384"/>
      <c r="H268" s="472"/>
      <c r="I268" s="44">
        <f t="shared" si="50"/>
        <v>0</v>
      </c>
      <c r="J268" s="330" t="str">
        <f t="shared" si="51"/>
        <v/>
      </c>
      <c r="K268" s="395"/>
      <c r="L268" s="48"/>
      <c r="M268" s="473"/>
      <c r="N268" s="473"/>
      <c r="O268" s="473"/>
      <c r="P268" s="473"/>
      <c r="Q268" s="473"/>
      <c r="R268" s="473"/>
      <c r="S268" s="473"/>
      <c r="T268" s="473"/>
      <c r="U268" s="473"/>
      <c r="V268" s="473"/>
      <c r="W268" s="473"/>
    </row>
    <row r="269" spans="1:23" ht="11.25" hidden="1" customHeight="1" x14ac:dyDescent="0.25">
      <c r="A269" s="407">
        <f>'Org structure'!E97</f>
        <v>0</v>
      </c>
      <c r="B269" s="445"/>
      <c r="C269" s="394"/>
      <c r="D269" s="383"/>
      <c r="E269" s="384"/>
      <c r="F269" s="472"/>
      <c r="G269" s="384"/>
      <c r="H269" s="472"/>
      <c r="I269" s="44">
        <f t="shared" si="50"/>
        <v>0</v>
      </c>
      <c r="J269" s="330" t="str">
        <f t="shared" si="51"/>
        <v/>
      </c>
      <c r="K269" s="395"/>
      <c r="L269" s="48"/>
      <c r="M269" s="473"/>
      <c r="N269" s="473"/>
      <c r="O269" s="473"/>
      <c r="P269" s="473"/>
      <c r="Q269" s="473"/>
      <c r="R269" s="473"/>
      <c r="S269" s="473"/>
      <c r="T269" s="473"/>
      <c r="U269" s="473"/>
      <c r="V269" s="473"/>
      <c r="W269" s="473"/>
    </row>
    <row r="270" spans="1:23" ht="11.25" hidden="1" customHeight="1" x14ac:dyDescent="0.25">
      <c r="A270" s="407">
        <f>'Org structure'!E98</f>
        <v>0</v>
      </c>
      <c r="B270" s="445"/>
      <c r="C270" s="394"/>
      <c r="D270" s="383"/>
      <c r="E270" s="384"/>
      <c r="F270" s="472"/>
      <c r="G270" s="384"/>
      <c r="H270" s="472"/>
      <c r="I270" s="44">
        <f t="shared" si="50"/>
        <v>0</v>
      </c>
      <c r="J270" s="330" t="str">
        <f t="shared" si="51"/>
        <v/>
      </c>
      <c r="K270" s="395"/>
      <c r="L270" s="48"/>
      <c r="M270" s="473"/>
      <c r="N270" s="473"/>
      <c r="O270" s="473"/>
      <c r="P270" s="473"/>
      <c r="Q270" s="473"/>
      <c r="R270" s="473"/>
      <c r="S270" s="473"/>
      <c r="T270" s="473"/>
      <c r="U270" s="473"/>
      <c r="V270" s="473"/>
      <c r="W270" s="473"/>
    </row>
    <row r="271" spans="1:23" ht="11.25" hidden="1" customHeight="1" x14ac:dyDescent="0.25">
      <c r="A271" s="407">
        <f>'Org structure'!E99</f>
        <v>0</v>
      </c>
      <c r="B271" s="445"/>
      <c r="C271" s="394"/>
      <c r="D271" s="383"/>
      <c r="E271" s="384"/>
      <c r="F271" s="472"/>
      <c r="G271" s="384"/>
      <c r="H271" s="472"/>
      <c r="I271" s="44">
        <f t="shared" si="50"/>
        <v>0</v>
      </c>
      <c r="J271" s="330" t="str">
        <f t="shared" si="51"/>
        <v/>
      </c>
      <c r="K271" s="395"/>
      <c r="L271" s="48"/>
      <c r="M271" s="473"/>
      <c r="N271" s="473"/>
      <c r="O271" s="473"/>
      <c r="P271" s="473"/>
      <c r="Q271" s="473"/>
      <c r="R271" s="473"/>
      <c r="S271" s="473"/>
      <c r="T271" s="473"/>
      <c r="U271" s="473"/>
      <c r="V271" s="473"/>
      <c r="W271" s="473"/>
    </row>
    <row r="272" spans="1:23" ht="11.25" hidden="1" customHeight="1" x14ac:dyDescent="0.25">
      <c r="A272" s="407">
        <f>'Org structure'!E100</f>
        <v>0</v>
      </c>
      <c r="B272" s="445"/>
      <c r="C272" s="394"/>
      <c r="D272" s="383"/>
      <c r="E272" s="384"/>
      <c r="F272" s="472"/>
      <c r="G272" s="384"/>
      <c r="H272" s="472"/>
      <c r="I272" s="44">
        <f t="shared" si="50"/>
        <v>0</v>
      </c>
      <c r="J272" s="330" t="str">
        <f t="shared" si="51"/>
        <v/>
      </c>
      <c r="K272" s="395"/>
      <c r="L272" s="48"/>
      <c r="M272" s="473"/>
      <c r="N272" s="473"/>
      <c r="O272" s="473"/>
      <c r="P272" s="473"/>
      <c r="Q272" s="473"/>
      <c r="R272" s="473"/>
      <c r="S272" s="473"/>
      <c r="T272" s="473"/>
      <c r="U272" s="473"/>
      <c r="V272" s="473"/>
      <c r="W272" s="473"/>
    </row>
    <row r="273" spans="1:23" ht="11.25" hidden="1" customHeight="1" x14ac:dyDescent="0.25">
      <c r="A273" s="466" t="str">
        <f>'Org structure'!A11</f>
        <v>Vote 10 - [NAME OF VOTE 10]</v>
      </c>
      <c r="B273" s="445"/>
      <c r="C273" s="503">
        <f t="shared" ref="C273:K273" si="52">SUM(C274:C283)</f>
        <v>0</v>
      </c>
      <c r="D273" s="444">
        <f t="shared" si="52"/>
        <v>0</v>
      </c>
      <c r="E273" s="441">
        <f t="shared" si="52"/>
        <v>0</v>
      </c>
      <c r="F273" s="443">
        <f t="shared" si="52"/>
        <v>0</v>
      </c>
      <c r="G273" s="441">
        <f t="shared" si="52"/>
        <v>0</v>
      </c>
      <c r="H273" s="443">
        <f t="shared" si="52"/>
        <v>0</v>
      </c>
      <c r="I273" s="44">
        <f t="shared" si="50"/>
        <v>0</v>
      </c>
      <c r="J273" s="330" t="str">
        <f t="shared" si="51"/>
        <v/>
      </c>
      <c r="K273" s="442">
        <f t="shared" si="52"/>
        <v>0</v>
      </c>
      <c r="L273" s="48"/>
      <c r="M273" s="473"/>
      <c r="N273" s="473"/>
      <c r="O273" s="473"/>
      <c r="P273" s="473"/>
      <c r="Q273" s="473"/>
      <c r="R273" s="473"/>
      <c r="S273" s="473"/>
      <c r="T273" s="473"/>
      <c r="U273" s="473"/>
      <c r="V273" s="473"/>
      <c r="W273" s="473"/>
    </row>
    <row r="274" spans="1:23" ht="11.25" hidden="1" customHeight="1" x14ac:dyDescent="0.25">
      <c r="A274" s="407" t="str">
        <f>'Org structure'!E102</f>
        <v>10.1 - [Name of sub-vote]</v>
      </c>
      <c r="B274" s="445"/>
      <c r="C274" s="394"/>
      <c r="D274" s="383"/>
      <c r="E274" s="384"/>
      <c r="F274" s="472"/>
      <c r="G274" s="384"/>
      <c r="H274" s="472"/>
      <c r="I274" s="44">
        <f t="shared" si="50"/>
        <v>0</v>
      </c>
      <c r="J274" s="330" t="str">
        <f t="shared" si="51"/>
        <v/>
      </c>
      <c r="K274" s="395"/>
      <c r="L274" s="48"/>
      <c r="M274" s="473"/>
      <c r="N274" s="473"/>
      <c r="O274" s="473"/>
      <c r="P274" s="473"/>
      <c r="Q274" s="473"/>
      <c r="R274" s="473"/>
      <c r="S274" s="473"/>
      <c r="T274" s="473"/>
      <c r="U274" s="473"/>
      <c r="V274" s="473"/>
      <c r="W274" s="473"/>
    </row>
    <row r="275" spans="1:23" ht="11.25" hidden="1" customHeight="1" x14ac:dyDescent="0.25">
      <c r="A275" s="407">
        <f>'Org structure'!E103</f>
        <v>0</v>
      </c>
      <c r="B275" s="445"/>
      <c r="C275" s="394"/>
      <c r="D275" s="383"/>
      <c r="E275" s="384"/>
      <c r="F275" s="472"/>
      <c r="G275" s="384"/>
      <c r="H275" s="472"/>
      <c r="I275" s="44">
        <f t="shared" si="50"/>
        <v>0</v>
      </c>
      <c r="J275" s="330" t="str">
        <f t="shared" si="51"/>
        <v/>
      </c>
      <c r="K275" s="395"/>
      <c r="L275" s="48"/>
      <c r="M275" s="473"/>
      <c r="N275" s="473"/>
      <c r="O275" s="473"/>
      <c r="P275" s="473"/>
      <c r="Q275" s="473"/>
      <c r="R275" s="473"/>
      <c r="S275" s="473"/>
      <c r="T275" s="473"/>
      <c r="U275" s="473"/>
      <c r="V275" s="473"/>
      <c r="W275" s="473"/>
    </row>
    <row r="276" spans="1:23" ht="11.25" hidden="1" customHeight="1" x14ac:dyDescent="0.25">
      <c r="A276" s="407">
        <f>'Org structure'!E104</f>
        <v>0</v>
      </c>
      <c r="B276" s="445"/>
      <c r="C276" s="394"/>
      <c r="D276" s="383"/>
      <c r="E276" s="384"/>
      <c r="F276" s="472"/>
      <c r="G276" s="384"/>
      <c r="H276" s="472"/>
      <c r="I276" s="44">
        <f t="shared" si="50"/>
        <v>0</v>
      </c>
      <c r="J276" s="330" t="str">
        <f t="shared" si="51"/>
        <v/>
      </c>
      <c r="K276" s="395"/>
      <c r="L276" s="48"/>
      <c r="M276" s="473"/>
      <c r="N276" s="473"/>
      <c r="O276" s="473"/>
      <c r="P276" s="473"/>
      <c r="Q276" s="473"/>
      <c r="R276" s="473"/>
      <c r="S276" s="473"/>
      <c r="T276" s="473"/>
      <c r="U276" s="473"/>
      <c r="V276" s="473"/>
      <c r="W276" s="473"/>
    </row>
    <row r="277" spans="1:23" ht="11.25" hidden="1" customHeight="1" x14ac:dyDescent="0.25">
      <c r="A277" s="407">
        <f>'Org structure'!E105</f>
        <v>0</v>
      </c>
      <c r="B277" s="445"/>
      <c r="C277" s="394"/>
      <c r="D277" s="383"/>
      <c r="E277" s="384"/>
      <c r="F277" s="472"/>
      <c r="G277" s="384"/>
      <c r="H277" s="472"/>
      <c r="I277" s="44">
        <f t="shared" si="50"/>
        <v>0</v>
      </c>
      <c r="J277" s="330" t="str">
        <f t="shared" si="51"/>
        <v/>
      </c>
      <c r="K277" s="395"/>
      <c r="L277" s="48"/>
      <c r="M277" s="473"/>
      <c r="N277" s="473"/>
      <c r="O277" s="473"/>
      <c r="P277" s="473"/>
      <c r="Q277" s="473"/>
      <c r="R277" s="473"/>
      <c r="S277" s="473"/>
      <c r="T277" s="473"/>
      <c r="U277" s="473"/>
      <c r="V277" s="473"/>
      <c r="W277" s="473"/>
    </row>
    <row r="278" spans="1:23" ht="11.25" hidden="1" customHeight="1" x14ac:dyDescent="0.25">
      <c r="A278" s="407">
        <f>'Org structure'!E106</f>
        <v>0</v>
      </c>
      <c r="B278" s="445"/>
      <c r="C278" s="394"/>
      <c r="D278" s="383"/>
      <c r="E278" s="384"/>
      <c r="F278" s="472"/>
      <c r="G278" s="384"/>
      <c r="H278" s="472"/>
      <c r="I278" s="44">
        <f t="shared" si="50"/>
        <v>0</v>
      </c>
      <c r="J278" s="330" t="str">
        <f t="shared" si="51"/>
        <v/>
      </c>
      <c r="K278" s="395"/>
      <c r="L278" s="48"/>
      <c r="M278" s="473"/>
      <c r="N278" s="473"/>
      <c r="O278" s="473"/>
      <c r="P278" s="473"/>
      <c r="Q278" s="473"/>
      <c r="R278" s="473"/>
      <c r="S278" s="473"/>
      <c r="T278" s="473"/>
      <c r="U278" s="473"/>
      <c r="V278" s="473"/>
      <c r="W278" s="473"/>
    </row>
    <row r="279" spans="1:23" ht="11.25" hidden="1" customHeight="1" x14ac:dyDescent="0.25">
      <c r="A279" s="407">
        <f>'Org structure'!E107</f>
        <v>0</v>
      </c>
      <c r="B279" s="445"/>
      <c r="C279" s="394"/>
      <c r="D279" s="383"/>
      <c r="E279" s="384"/>
      <c r="F279" s="472"/>
      <c r="G279" s="384"/>
      <c r="H279" s="472"/>
      <c r="I279" s="44">
        <f t="shared" si="50"/>
        <v>0</v>
      </c>
      <c r="J279" s="330" t="str">
        <f t="shared" si="51"/>
        <v/>
      </c>
      <c r="K279" s="395"/>
      <c r="L279" s="48"/>
      <c r="M279" s="473"/>
      <c r="N279" s="473"/>
      <c r="O279" s="473"/>
      <c r="P279" s="473"/>
      <c r="Q279" s="473"/>
      <c r="R279" s="473"/>
      <c r="S279" s="473"/>
      <c r="T279" s="473"/>
      <c r="U279" s="473"/>
      <c r="V279" s="473"/>
      <c r="W279" s="473"/>
    </row>
    <row r="280" spans="1:23" ht="11.25" hidden="1" customHeight="1" x14ac:dyDescent="0.25">
      <c r="A280" s="407">
        <f>'Org structure'!E108</f>
        <v>0</v>
      </c>
      <c r="B280" s="445"/>
      <c r="C280" s="394"/>
      <c r="D280" s="383"/>
      <c r="E280" s="384"/>
      <c r="F280" s="472"/>
      <c r="G280" s="384"/>
      <c r="H280" s="472"/>
      <c r="I280" s="44">
        <f t="shared" si="50"/>
        <v>0</v>
      </c>
      <c r="J280" s="330" t="str">
        <f t="shared" si="51"/>
        <v/>
      </c>
      <c r="K280" s="395"/>
      <c r="L280" s="48"/>
      <c r="M280" s="473"/>
      <c r="N280" s="473"/>
      <c r="O280" s="473"/>
      <c r="P280" s="473"/>
      <c r="Q280" s="473"/>
      <c r="R280" s="473"/>
      <c r="S280" s="473"/>
      <c r="T280" s="473"/>
      <c r="U280" s="473"/>
      <c r="V280" s="473"/>
      <c r="W280" s="473"/>
    </row>
    <row r="281" spans="1:23" ht="11.25" hidden="1" customHeight="1" x14ac:dyDescent="0.25">
      <c r="A281" s="407">
        <f>'Org structure'!E109</f>
        <v>0</v>
      </c>
      <c r="B281" s="445"/>
      <c r="C281" s="394"/>
      <c r="D281" s="383"/>
      <c r="E281" s="384"/>
      <c r="F281" s="472"/>
      <c r="G281" s="384"/>
      <c r="H281" s="472"/>
      <c r="I281" s="44">
        <f t="shared" si="50"/>
        <v>0</v>
      </c>
      <c r="J281" s="330" t="str">
        <f t="shared" si="51"/>
        <v/>
      </c>
      <c r="K281" s="395"/>
      <c r="L281" s="48"/>
      <c r="M281" s="473"/>
      <c r="N281" s="473"/>
      <c r="O281" s="473"/>
      <c r="P281" s="473"/>
      <c r="Q281" s="473"/>
      <c r="R281" s="473"/>
      <c r="S281" s="473"/>
      <c r="T281" s="473"/>
      <c r="U281" s="473"/>
      <c r="V281" s="473"/>
      <c r="W281" s="473"/>
    </row>
    <row r="282" spans="1:23" ht="11.25" hidden="1" customHeight="1" x14ac:dyDescent="0.25">
      <c r="A282" s="407">
        <f>'Org structure'!E110</f>
        <v>0</v>
      </c>
      <c r="B282" s="445"/>
      <c r="C282" s="394"/>
      <c r="D282" s="383"/>
      <c r="E282" s="384"/>
      <c r="F282" s="472"/>
      <c r="G282" s="384"/>
      <c r="H282" s="472"/>
      <c r="I282" s="44">
        <f t="shared" si="50"/>
        <v>0</v>
      </c>
      <c r="J282" s="330" t="str">
        <f t="shared" si="51"/>
        <v/>
      </c>
      <c r="K282" s="395"/>
      <c r="L282" s="48"/>
      <c r="M282" s="473"/>
      <c r="N282" s="473"/>
      <c r="O282" s="473"/>
      <c r="P282" s="473"/>
      <c r="Q282" s="473"/>
      <c r="R282" s="473"/>
      <c r="S282" s="473"/>
      <c r="T282" s="473"/>
      <c r="U282" s="473"/>
      <c r="V282" s="473"/>
      <c r="W282" s="473"/>
    </row>
    <row r="283" spans="1:23" ht="11.25" hidden="1" customHeight="1" x14ac:dyDescent="0.25">
      <c r="A283" s="407">
        <f>'Org structure'!E111</f>
        <v>0</v>
      </c>
      <c r="B283" s="445"/>
      <c r="C283" s="394"/>
      <c r="D283" s="383"/>
      <c r="E283" s="384"/>
      <c r="F283" s="472"/>
      <c r="G283" s="384"/>
      <c r="H283" s="472"/>
      <c r="I283" s="44">
        <f t="shared" si="50"/>
        <v>0</v>
      </c>
      <c r="J283" s="330" t="str">
        <f t="shared" si="51"/>
        <v/>
      </c>
      <c r="K283" s="395"/>
      <c r="L283" s="48"/>
      <c r="M283" s="473"/>
      <c r="N283" s="473"/>
      <c r="O283" s="473"/>
      <c r="P283" s="473"/>
      <c r="Q283" s="473"/>
      <c r="R283" s="473"/>
      <c r="S283" s="473"/>
      <c r="T283" s="473"/>
      <c r="U283" s="473"/>
      <c r="V283" s="473"/>
      <c r="W283" s="473"/>
    </row>
    <row r="284" spans="1:23" ht="11.25" hidden="1" customHeight="1" x14ac:dyDescent="0.25">
      <c r="A284" s="466" t="str">
        <f>'Org structure'!A12</f>
        <v>Vote 11 - [NAME OF VOTE 11]</v>
      </c>
      <c r="B284" s="445"/>
      <c r="C284" s="503">
        <f t="shared" ref="C284:K284" si="53">SUM(C285:C294)</f>
        <v>0</v>
      </c>
      <c r="D284" s="444">
        <f t="shared" si="53"/>
        <v>0</v>
      </c>
      <c r="E284" s="441">
        <f t="shared" si="53"/>
        <v>0</v>
      </c>
      <c r="F284" s="443">
        <f t="shared" si="53"/>
        <v>0</v>
      </c>
      <c r="G284" s="441">
        <f t="shared" si="53"/>
        <v>0</v>
      </c>
      <c r="H284" s="443">
        <f t="shared" si="53"/>
        <v>0</v>
      </c>
      <c r="I284" s="44">
        <f t="shared" si="50"/>
        <v>0</v>
      </c>
      <c r="J284" s="330" t="str">
        <f t="shared" si="51"/>
        <v/>
      </c>
      <c r="K284" s="442">
        <f t="shared" si="53"/>
        <v>0</v>
      </c>
      <c r="L284" s="48"/>
      <c r="M284" s="473"/>
      <c r="N284" s="473"/>
      <c r="O284" s="473"/>
      <c r="P284" s="473"/>
      <c r="Q284" s="473"/>
      <c r="R284" s="473"/>
      <c r="S284" s="473"/>
      <c r="T284" s="473"/>
      <c r="U284" s="473"/>
      <c r="V284" s="473"/>
      <c r="W284" s="473"/>
    </row>
    <row r="285" spans="1:23" ht="11.25" hidden="1" customHeight="1" x14ac:dyDescent="0.25">
      <c r="A285" s="407" t="str">
        <f>'Org structure'!E113</f>
        <v>11.1 - [Name of sub-vote]</v>
      </c>
      <c r="B285" s="445"/>
      <c r="C285" s="394"/>
      <c r="D285" s="383"/>
      <c r="E285" s="384"/>
      <c r="F285" s="472"/>
      <c r="G285" s="384"/>
      <c r="H285" s="472"/>
      <c r="I285" s="44">
        <f t="shared" si="50"/>
        <v>0</v>
      </c>
      <c r="J285" s="330" t="str">
        <f t="shared" si="51"/>
        <v/>
      </c>
      <c r="K285" s="395"/>
      <c r="L285" s="48"/>
      <c r="M285" s="473"/>
      <c r="N285" s="473"/>
      <c r="O285" s="473"/>
      <c r="P285" s="473"/>
      <c r="Q285" s="473"/>
      <c r="R285" s="473"/>
      <c r="S285" s="473"/>
      <c r="T285" s="473"/>
      <c r="U285" s="473"/>
      <c r="V285" s="473"/>
      <c r="W285" s="473"/>
    </row>
    <row r="286" spans="1:23" ht="11.25" hidden="1" customHeight="1" x14ac:dyDescent="0.25">
      <c r="A286" s="407">
        <f>'Org structure'!E114</f>
        <v>0</v>
      </c>
      <c r="B286" s="445"/>
      <c r="C286" s="394"/>
      <c r="D286" s="383"/>
      <c r="E286" s="384"/>
      <c r="F286" s="472"/>
      <c r="G286" s="384"/>
      <c r="H286" s="472"/>
      <c r="I286" s="44">
        <f t="shared" si="50"/>
        <v>0</v>
      </c>
      <c r="J286" s="330" t="str">
        <f t="shared" si="51"/>
        <v/>
      </c>
      <c r="K286" s="395"/>
      <c r="L286" s="48"/>
      <c r="M286" s="473"/>
      <c r="N286" s="473"/>
      <c r="O286" s="473"/>
      <c r="P286" s="473"/>
      <c r="Q286" s="473"/>
      <c r="R286" s="473"/>
      <c r="S286" s="473"/>
      <c r="T286" s="473"/>
      <c r="U286" s="473"/>
      <c r="V286" s="473"/>
      <c r="W286" s="473"/>
    </row>
    <row r="287" spans="1:23" ht="11.25" hidden="1" customHeight="1" x14ac:dyDescent="0.25">
      <c r="A287" s="407">
        <f>'Org structure'!E115</f>
        <v>0</v>
      </c>
      <c r="B287" s="445"/>
      <c r="C287" s="394"/>
      <c r="D287" s="383"/>
      <c r="E287" s="384"/>
      <c r="F287" s="472"/>
      <c r="G287" s="384"/>
      <c r="H287" s="472"/>
      <c r="I287" s="44">
        <f t="shared" si="50"/>
        <v>0</v>
      </c>
      <c r="J287" s="330" t="str">
        <f t="shared" si="51"/>
        <v/>
      </c>
      <c r="K287" s="395"/>
      <c r="L287" s="48"/>
      <c r="M287" s="473"/>
      <c r="N287" s="473"/>
      <c r="O287" s="473"/>
      <c r="P287" s="473"/>
      <c r="Q287" s="473"/>
      <c r="R287" s="473"/>
      <c r="S287" s="473"/>
      <c r="T287" s="473"/>
      <c r="U287" s="473"/>
      <c r="V287" s="473"/>
      <c r="W287" s="473"/>
    </row>
    <row r="288" spans="1:23" ht="11.25" hidden="1" customHeight="1" x14ac:dyDescent="0.25">
      <c r="A288" s="407">
        <f>'Org structure'!E116</f>
        <v>0</v>
      </c>
      <c r="B288" s="445"/>
      <c r="C288" s="394"/>
      <c r="D288" s="383"/>
      <c r="E288" s="384"/>
      <c r="F288" s="472"/>
      <c r="G288" s="384"/>
      <c r="H288" s="472"/>
      <c r="I288" s="44">
        <f t="shared" si="50"/>
        <v>0</v>
      </c>
      <c r="J288" s="330" t="str">
        <f t="shared" si="51"/>
        <v/>
      </c>
      <c r="K288" s="395"/>
      <c r="L288" s="48"/>
      <c r="M288" s="473"/>
      <c r="N288" s="473"/>
      <c r="O288" s="473"/>
      <c r="P288" s="473"/>
      <c r="Q288" s="473"/>
      <c r="R288" s="473"/>
      <c r="S288" s="473"/>
      <c r="T288" s="473"/>
      <c r="U288" s="473"/>
      <c r="V288" s="473"/>
      <c r="W288" s="473"/>
    </row>
    <row r="289" spans="1:23" ht="11.25" hidden="1" customHeight="1" x14ac:dyDescent="0.25">
      <c r="A289" s="407">
        <f>'Org structure'!E117</f>
        <v>0</v>
      </c>
      <c r="B289" s="445"/>
      <c r="C289" s="394"/>
      <c r="D289" s="383"/>
      <c r="E289" s="384"/>
      <c r="F289" s="472"/>
      <c r="G289" s="384"/>
      <c r="H289" s="472"/>
      <c r="I289" s="44">
        <f t="shared" si="50"/>
        <v>0</v>
      </c>
      <c r="J289" s="330" t="str">
        <f t="shared" si="51"/>
        <v/>
      </c>
      <c r="K289" s="395"/>
      <c r="L289" s="48"/>
      <c r="M289" s="473"/>
      <c r="N289" s="473"/>
      <c r="O289" s="473"/>
      <c r="P289" s="473"/>
      <c r="Q289" s="473"/>
      <c r="R289" s="473"/>
      <c r="S289" s="473"/>
      <c r="T289" s="473"/>
      <c r="U289" s="473"/>
      <c r="V289" s="473"/>
      <c r="W289" s="473"/>
    </row>
    <row r="290" spans="1:23" ht="11.25" hidden="1" customHeight="1" x14ac:dyDescent="0.25">
      <c r="A290" s="407">
        <f>'Org structure'!E118</f>
        <v>0</v>
      </c>
      <c r="B290" s="445"/>
      <c r="C290" s="394"/>
      <c r="D290" s="383"/>
      <c r="E290" s="384"/>
      <c r="F290" s="472"/>
      <c r="G290" s="384"/>
      <c r="H290" s="472"/>
      <c r="I290" s="44">
        <f t="shared" si="50"/>
        <v>0</v>
      </c>
      <c r="J290" s="330" t="str">
        <f t="shared" si="51"/>
        <v/>
      </c>
      <c r="K290" s="395"/>
      <c r="L290" s="48"/>
      <c r="M290" s="473"/>
      <c r="N290" s="473"/>
      <c r="O290" s="473"/>
      <c r="P290" s="473"/>
      <c r="Q290" s="473"/>
      <c r="R290" s="473"/>
      <c r="S290" s="473"/>
      <c r="T290" s="473"/>
      <c r="U290" s="473"/>
      <c r="V290" s="473"/>
      <c r="W290" s="473"/>
    </row>
    <row r="291" spans="1:23" ht="11.25" hidden="1" customHeight="1" x14ac:dyDescent="0.25">
      <c r="A291" s="407">
        <f>'Org structure'!E119</f>
        <v>0</v>
      </c>
      <c r="B291" s="445"/>
      <c r="C291" s="394"/>
      <c r="D291" s="383"/>
      <c r="E291" s="384"/>
      <c r="F291" s="472"/>
      <c r="G291" s="384"/>
      <c r="H291" s="472"/>
      <c r="I291" s="44">
        <f t="shared" si="50"/>
        <v>0</v>
      </c>
      <c r="J291" s="330" t="str">
        <f t="shared" si="51"/>
        <v/>
      </c>
      <c r="K291" s="395"/>
      <c r="L291" s="48"/>
      <c r="M291" s="473"/>
      <c r="N291" s="473"/>
      <c r="O291" s="473"/>
      <c r="P291" s="473"/>
      <c r="Q291" s="473"/>
      <c r="R291" s="473"/>
      <c r="S291" s="473"/>
      <c r="T291" s="473"/>
      <c r="U291" s="473"/>
      <c r="V291" s="473"/>
      <c r="W291" s="473"/>
    </row>
    <row r="292" spans="1:23" ht="11.25" hidden="1" customHeight="1" x14ac:dyDescent="0.25">
      <c r="A292" s="407">
        <f>'Org structure'!E120</f>
        <v>0</v>
      </c>
      <c r="B292" s="445"/>
      <c r="C292" s="394"/>
      <c r="D292" s="383"/>
      <c r="E292" s="384"/>
      <c r="F292" s="472"/>
      <c r="G292" s="384"/>
      <c r="H292" s="472"/>
      <c r="I292" s="44">
        <f t="shared" si="50"/>
        <v>0</v>
      </c>
      <c r="J292" s="330" t="str">
        <f t="shared" si="51"/>
        <v/>
      </c>
      <c r="K292" s="395"/>
      <c r="L292" s="48"/>
      <c r="M292" s="473"/>
      <c r="N292" s="473"/>
      <c r="O292" s="473"/>
      <c r="P292" s="473"/>
      <c r="Q292" s="473"/>
      <c r="R292" s="473"/>
      <c r="S292" s="473"/>
      <c r="T292" s="473"/>
      <c r="U292" s="473"/>
      <c r="V292" s="473"/>
      <c r="W292" s="473"/>
    </row>
    <row r="293" spans="1:23" ht="11.25" hidden="1" customHeight="1" x14ac:dyDescent="0.25">
      <c r="A293" s="407">
        <f>'Org structure'!E121</f>
        <v>0</v>
      </c>
      <c r="B293" s="445"/>
      <c r="C293" s="394"/>
      <c r="D293" s="383"/>
      <c r="E293" s="384"/>
      <c r="F293" s="472"/>
      <c r="G293" s="384"/>
      <c r="H293" s="472"/>
      <c r="I293" s="44">
        <f t="shared" si="50"/>
        <v>0</v>
      </c>
      <c r="J293" s="330" t="str">
        <f t="shared" si="51"/>
        <v/>
      </c>
      <c r="K293" s="395"/>
      <c r="L293" s="48"/>
      <c r="M293" s="473"/>
      <c r="N293" s="473"/>
      <c r="O293" s="473"/>
      <c r="P293" s="473"/>
      <c r="Q293" s="473"/>
      <c r="R293" s="473"/>
      <c r="S293" s="473"/>
      <c r="T293" s="473"/>
      <c r="U293" s="473"/>
      <c r="V293" s="473"/>
      <c r="W293" s="473"/>
    </row>
    <row r="294" spans="1:23" ht="11.25" hidden="1" customHeight="1" x14ac:dyDescent="0.25">
      <c r="A294" s="407">
        <f>'Org structure'!E122</f>
        <v>0</v>
      </c>
      <c r="B294" s="445"/>
      <c r="C294" s="394"/>
      <c r="D294" s="383"/>
      <c r="E294" s="384"/>
      <c r="F294" s="472"/>
      <c r="G294" s="384"/>
      <c r="H294" s="472"/>
      <c r="I294" s="44">
        <f t="shared" si="50"/>
        <v>0</v>
      </c>
      <c r="J294" s="330" t="str">
        <f t="shared" si="51"/>
        <v/>
      </c>
      <c r="K294" s="395"/>
      <c r="L294" s="48"/>
      <c r="M294" s="473"/>
      <c r="N294" s="473"/>
      <c r="O294" s="473"/>
      <c r="P294" s="473"/>
      <c r="Q294" s="473"/>
      <c r="R294" s="473"/>
      <c r="S294" s="473"/>
      <c r="T294" s="473"/>
      <c r="U294" s="473"/>
      <c r="V294" s="473"/>
      <c r="W294" s="473"/>
    </row>
    <row r="295" spans="1:23" ht="11.25" hidden="1" customHeight="1" x14ac:dyDescent="0.25">
      <c r="A295" s="466" t="str">
        <f>'Org structure'!A13</f>
        <v>Vote 12 - [NAME OF VOTE 12]</v>
      </c>
      <c r="B295" s="445"/>
      <c r="C295" s="503">
        <f t="shared" ref="C295:K295" si="54">SUM(C296:C305)</f>
        <v>0</v>
      </c>
      <c r="D295" s="444">
        <f t="shared" si="54"/>
        <v>0</v>
      </c>
      <c r="E295" s="441">
        <f t="shared" si="54"/>
        <v>0</v>
      </c>
      <c r="F295" s="443">
        <f t="shared" si="54"/>
        <v>0</v>
      </c>
      <c r="G295" s="441">
        <f t="shared" si="54"/>
        <v>0</v>
      </c>
      <c r="H295" s="443">
        <f t="shared" si="54"/>
        <v>0</v>
      </c>
      <c r="I295" s="44">
        <f t="shared" si="50"/>
        <v>0</v>
      </c>
      <c r="J295" s="330" t="str">
        <f t="shared" si="51"/>
        <v/>
      </c>
      <c r="K295" s="442">
        <f t="shared" si="54"/>
        <v>0</v>
      </c>
      <c r="L295" s="48"/>
      <c r="M295" s="473"/>
      <c r="N295" s="473"/>
      <c r="O295" s="473"/>
      <c r="P295" s="473"/>
      <c r="Q295" s="473"/>
      <c r="R295" s="473"/>
      <c r="S295" s="473"/>
      <c r="T295" s="473"/>
      <c r="U295" s="473"/>
      <c r="V295" s="473"/>
      <c r="W295" s="473"/>
    </row>
    <row r="296" spans="1:23" ht="11.25" hidden="1" customHeight="1" x14ac:dyDescent="0.25">
      <c r="A296" s="407" t="str">
        <f>'Org structure'!E124</f>
        <v>12.1 - [Name of sub-vote]</v>
      </c>
      <c r="B296" s="445"/>
      <c r="C296" s="394"/>
      <c r="D296" s="383"/>
      <c r="E296" s="384"/>
      <c r="F296" s="472"/>
      <c r="G296" s="384"/>
      <c r="H296" s="472"/>
      <c r="I296" s="44">
        <f t="shared" si="50"/>
        <v>0</v>
      </c>
      <c r="J296" s="330" t="str">
        <f t="shared" si="51"/>
        <v/>
      </c>
      <c r="K296" s="395"/>
      <c r="L296" s="48"/>
      <c r="M296" s="473"/>
      <c r="N296" s="473"/>
      <c r="O296" s="473"/>
      <c r="P296" s="473"/>
      <c r="Q296" s="473"/>
      <c r="R296" s="473"/>
      <c r="S296" s="473"/>
      <c r="T296" s="473"/>
      <c r="U296" s="473"/>
      <c r="V296" s="473"/>
      <c r="W296" s="473"/>
    </row>
    <row r="297" spans="1:23" ht="11.25" hidden="1" customHeight="1" x14ac:dyDescent="0.25">
      <c r="A297" s="407">
        <f>'Org structure'!E125</f>
        <v>0</v>
      </c>
      <c r="B297" s="445"/>
      <c r="C297" s="394"/>
      <c r="D297" s="383"/>
      <c r="E297" s="384"/>
      <c r="F297" s="472"/>
      <c r="G297" s="384"/>
      <c r="H297" s="472"/>
      <c r="I297" s="44">
        <f t="shared" si="50"/>
        <v>0</v>
      </c>
      <c r="J297" s="330" t="str">
        <f t="shared" si="51"/>
        <v/>
      </c>
      <c r="K297" s="395"/>
      <c r="L297" s="48"/>
      <c r="M297" s="473"/>
      <c r="N297" s="473"/>
      <c r="O297" s="473"/>
      <c r="P297" s="473"/>
      <c r="Q297" s="473"/>
      <c r="R297" s="473"/>
      <c r="S297" s="473"/>
      <c r="T297" s="473"/>
      <c r="U297" s="473"/>
      <c r="V297" s="473"/>
      <c r="W297" s="473"/>
    </row>
    <row r="298" spans="1:23" ht="11.25" hidden="1" customHeight="1" x14ac:dyDescent="0.25">
      <c r="A298" s="407">
        <f>'Org structure'!E126</f>
        <v>0</v>
      </c>
      <c r="B298" s="445"/>
      <c r="C298" s="394"/>
      <c r="D298" s="383"/>
      <c r="E298" s="384"/>
      <c r="F298" s="472"/>
      <c r="G298" s="384"/>
      <c r="H298" s="472"/>
      <c r="I298" s="44">
        <f t="shared" si="50"/>
        <v>0</v>
      </c>
      <c r="J298" s="330" t="str">
        <f t="shared" si="51"/>
        <v/>
      </c>
      <c r="K298" s="395"/>
      <c r="L298" s="48"/>
      <c r="M298" s="473"/>
      <c r="N298" s="473"/>
      <c r="O298" s="473"/>
      <c r="P298" s="473"/>
      <c r="Q298" s="473"/>
      <c r="R298" s="473"/>
      <c r="S298" s="473"/>
      <c r="T298" s="473"/>
      <c r="U298" s="473"/>
      <c r="V298" s="473"/>
      <c r="W298" s="473"/>
    </row>
    <row r="299" spans="1:23" ht="11.25" hidden="1" customHeight="1" x14ac:dyDescent="0.25">
      <c r="A299" s="407">
        <f>'Org structure'!E127</f>
        <v>0</v>
      </c>
      <c r="B299" s="445"/>
      <c r="C299" s="394"/>
      <c r="D299" s="383"/>
      <c r="E299" s="384"/>
      <c r="F299" s="472"/>
      <c r="G299" s="384"/>
      <c r="H299" s="472"/>
      <c r="I299" s="44">
        <f t="shared" si="50"/>
        <v>0</v>
      </c>
      <c r="J299" s="330" t="str">
        <f t="shared" si="51"/>
        <v/>
      </c>
      <c r="K299" s="395"/>
      <c r="L299" s="48"/>
      <c r="M299" s="473"/>
      <c r="N299" s="473"/>
      <c r="O299" s="473"/>
      <c r="P299" s="473"/>
      <c r="Q299" s="473"/>
      <c r="R299" s="473"/>
      <c r="S299" s="473"/>
      <c r="T299" s="473"/>
      <c r="U299" s="473"/>
      <c r="V299" s="473"/>
      <c r="W299" s="473"/>
    </row>
    <row r="300" spans="1:23" ht="11.25" hidden="1" customHeight="1" x14ac:dyDescent="0.25">
      <c r="A300" s="407">
        <f>'Org structure'!E128</f>
        <v>0</v>
      </c>
      <c r="B300" s="445"/>
      <c r="C300" s="394"/>
      <c r="D300" s="383"/>
      <c r="E300" s="384"/>
      <c r="F300" s="472"/>
      <c r="G300" s="384"/>
      <c r="H300" s="472"/>
      <c r="I300" s="44">
        <f t="shared" si="50"/>
        <v>0</v>
      </c>
      <c r="J300" s="330" t="str">
        <f t="shared" si="51"/>
        <v/>
      </c>
      <c r="K300" s="395"/>
      <c r="L300" s="48"/>
      <c r="M300" s="473"/>
      <c r="N300" s="473"/>
      <c r="O300" s="473"/>
      <c r="P300" s="473"/>
      <c r="Q300" s="473"/>
      <c r="R300" s="473"/>
      <c r="S300" s="473"/>
      <c r="T300" s="473"/>
      <c r="U300" s="473"/>
      <c r="V300" s="473"/>
      <c r="W300" s="473"/>
    </row>
    <row r="301" spans="1:23" ht="11.25" hidden="1" customHeight="1" x14ac:dyDescent="0.25">
      <c r="A301" s="407">
        <f>'Org structure'!E129</f>
        <v>0</v>
      </c>
      <c r="B301" s="445"/>
      <c r="C301" s="394"/>
      <c r="D301" s="383"/>
      <c r="E301" s="384"/>
      <c r="F301" s="472"/>
      <c r="G301" s="384"/>
      <c r="H301" s="472"/>
      <c r="I301" s="44">
        <f t="shared" si="50"/>
        <v>0</v>
      </c>
      <c r="J301" s="330" t="str">
        <f t="shared" si="51"/>
        <v/>
      </c>
      <c r="K301" s="395"/>
      <c r="L301" s="48"/>
      <c r="M301" s="473"/>
      <c r="N301" s="473"/>
      <c r="O301" s="473"/>
      <c r="P301" s="473"/>
      <c r="Q301" s="473"/>
      <c r="R301" s="473"/>
      <c r="S301" s="473"/>
      <c r="T301" s="473"/>
      <c r="U301" s="473"/>
      <c r="V301" s="473"/>
      <c r="W301" s="473"/>
    </row>
    <row r="302" spans="1:23" ht="11.25" hidden="1" customHeight="1" x14ac:dyDescent="0.25">
      <c r="A302" s="407">
        <f>'Org structure'!E130</f>
        <v>0</v>
      </c>
      <c r="B302" s="445"/>
      <c r="C302" s="394"/>
      <c r="D302" s="383"/>
      <c r="E302" s="384"/>
      <c r="F302" s="472"/>
      <c r="G302" s="384"/>
      <c r="H302" s="472"/>
      <c r="I302" s="44">
        <f t="shared" si="50"/>
        <v>0</v>
      </c>
      <c r="J302" s="330" t="str">
        <f t="shared" si="51"/>
        <v/>
      </c>
      <c r="K302" s="395"/>
      <c r="L302" s="48"/>
      <c r="M302" s="473"/>
      <c r="N302" s="473"/>
      <c r="O302" s="473"/>
      <c r="P302" s="473"/>
      <c r="Q302" s="473"/>
      <c r="R302" s="473"/>
      <c r="S302" s="473"/>
      <c r="T302" s="473"/>
      <c r="U302" s="473"/>
      <c r="V302" s="473"/>
      <c r="W302" s="473"/>
    </row>
    <row r="303" spans="1:23" ht="11.25" hidden="1" customHeight="1" x14ac:dyDescent="0.25">
      <c r="A303" s="407">
        <f>'Org structure'!E131</f>
        <v>0</v>
      </c>
      <c r="B303" s="445"/>
      <c r="C303" s="394"/>
      <c r="D303" s="383"/>
      <c r="E303" s="384"/>
      <c r="F303" s="472"/>
      <c r="G303" s="384"/>
      <c r="H303" s="472"/>
      <c r="I303" s="44">
        <f t="shared" si="50"/>
        <v>0</v>
      </c>
      <c r="J303" s="330" t="str">
        <f t="shared" si="51"/>
        <v/>
      </c>
      <c r="K303" s="395"/>
      <c r="L303" s="48"/>
      <c r="M303" s="473"/>
      <c r="N303" s="473"/>
      <c r="O303" s="473"/>
      <c r="P303" s="473"/>
      <c r="Q303" s="473"/>
      <c r="R303" s="473"/>
      <c r="S303" s="473"/>
      <c r="T303" s="473"/>
      <c r="U303" s="473"/>
      <c r="V303" s="473"/>
      <c r="W303" s="473"/>
    </row>
    <row r="304" spans="1:23" ht="11.25" hidden="1" customHeight="1" x14ac:dyDescent="0.25">
      <c r="A304" s="407">
        <f>'Org structure'!E132</f>
        <v>0</v>
      </c>
      <c r="B304" s="445"/>
      <c r="C304" s="394"/>
      <c r="D304" s="383"/>
      <c r="E304" s="384"/>
      <c r="F304" s="472"/>
      <c r="G304" s="384"/>
      <c r="H304" s="472"/>
      <c r="I304" s="44">
        <f t="shared" si="50"/>
        <v>0</v>
      </c>
      <c r="J304" s="330" t="str">
        <f t="shared" si="51"/>
        <v/>
      </c>
      <c r="K304" s="395"/>
      <c r="L304" s="48"/>
      <c r="M304" s="473"/>
      <c r="N304" s="473"/>
      <c r="O304" s="473"/>
      <c r="P304" s="473"/>
      <c r="Q304" s="473"/>
      <c r="R304" s="473"/>
      <c r="S304" s="473"/>
      <c r="T304" s="473"/>
      <c r="U304" s="473"/>
      <c r="V304" s="473"/>
      <c r="W304" s="473"/>
    </row>
    <row r="305" spans="1:23" ht="11.25" hidden="1" customHeight="1" x14ac:dyDescent="0.25">
      <c r="A305" s="407">
        <f>'Org structure'!E133</f>
        <v>0</v>
      </c>
      <c r="B305" s="445"/>
      <c r="C305" s="394"/>
      <c r="D305" s="383"/>
      <c r="E305" s="384"/>
      <c r="F305" s="472"/>
      <c r="G305" s="384"/>
      <c r="H305" s="472"/>
      <c r="I305" s="44">
        <f t="shared" si="50"/>
        <v>0</v>
      </c>
      <c r="J305" s="330" t="str">
        <f t="shared" si="51"/>
        <v/>
      </c>
      <c r="K305" s="395"/>
      <c r="L305" s="48"/>
      <c r="M305" s="473"/>
      <c r="N305" s="473"/>
      <c r="O305" s="473"/>
      <c r="P305" s="473"/>
      <c r="Q305" s="473"/>
      <c r="R305" s="473"/>
      <c r="S305" s="473"/>
      <c r="T305" s="473"/>
      <c r="U305" s="473"/>
      <c r="V305" s="473"/>
      <c r="W305" s="473"/>
    </row>
    <row r="306" spans="1:23" ht="11.25" hidden="1" customHeight="1" x14ac:dyDescent="0.25">
      <c r="A306" s="466" t="str">
        <f>'Org structure'!A14</f>
        <v>Vote 13 - [NAME OF VOTE 13]</v>
      </c>
      <c r="B306" s="445"/>
      <c r="C306" s="503">
        <f t="shared" ref="C306:K306" si="55">SUM(C307:C316)</f>
        <v>0</v>
      </c>
      <c r="D306" s="444">
        <f t="shared" si="55"/>
        <v>0</v>
      </c>
      <c r="E306" s="441">
        <f t="shared" si="55"/>
        <v>0</v>
      </c>
      <c r="F306" s="443">
        <f t="shared" si="55"/>
        <v>0</v>
      </c>
      <c r="G306" s="441">
        <f t="shared" si="55"/>
        <v>0</v>
      </c>
      <c r="H306" s="443">
        <f t="shared" si="55"/>
        <v>0</v>
      </c>
      <c r="I306" s="44">
        <f t="shared" si="50"/>
        <v>0</v>
      </c>
      <c r="J306" s="330" t="str">
        <f t="shared" si="51"/>
        <v/>
      </c>
      <c r="K306" s="442">
        <f t="shared" si="55"/>
        <v>0</v>
      </c>
      <c r="L306" s="48"/>
      <c r="M306" s="473"/>
      <c r="N306" s="473"/>
      <c r="O306" s="473"/>
      <c r="P306" s="473"/>
      <c r="Q306" s="473"/>
      <c r="R306" s="473"/>
      <c r="S306" s="473"/>
      <c r="T306" s="473"/>
      <c r="U306" s="473"/>
      <c r="V306" s="473"/>
      <c r="W306" s="473"/>
    </row>
    <row r="307" spans="1:23" ht="11.25" hidden="1" customHeight="1" x14ac:dyDescent="0.25">
      <c r="A307" s="407" t="str">
        <f>'Org structure'!E135</f>
        <v>13.1 - [Name of sub-vote]</v>
      </c>
      <c r="B307" s="445"/>
      <c r="C307" s="394"/>
      <c r="D307" s="383"/>
      <c r="E307" s="384"/>
      <c r="F307" s="472"/>
      <c r="G307" s="384"/>
      <c r="H307" s="472"/>
      <c r="I307" s="44">
        <f t="shared" si="50"/>
        <v>0</v>
      </c>
      <c r="J307" s="330" t="str">
        <f t="shared" si="51"/>
        <v/>
      </c>
      <c r="K307" s="395"/>
      <c r="L307" s="48"/>
      <c r="M307" s="473"/>
      <c r="N307" s="473"/>
      <c r="O307" s="473"/>
      <c r="P307" s="473"/>
      <c r="Q307" s="473"/>
      <c r="R307" s="473"/>
      <c r="S307" s="473"/>
      <c r="T307" s="473"/>
      <c r="U307" s="473"/>
      <c r="V307" s="473"/>
      <c r="W307" s="473"/>
    </row>
    <row r="308" spans="1:23" ht="11.25" hidden="1" customHeight="1" x14ac:dyDescent="0.25">
      <c r="A308" s="407">
        <f>'Org structure'!E136</f>
        <v>0</v>
      </c>
      <c r="B308" s="445"/>
      <c r="C308" s="394"/>
      <c r="D308" s="383"/>
      <c r="E308" s="384"/>
      <c r="F308" s="472"/>
      <c r="G308" s="384"/>
      <c r="H308" s="472"/>
      <c r="I308" s="44">
        <f t="shared" si="50"/>
        <v>0</v>
      </c>
      <c r="J308" s="330" t="str">
        <f t="shared" si="51"/>
        <v/>
      </c>
      <c r="K308" s="395"/>
      <c r="L308" s="48"/>
      <c r="M308" s="473"/>
      <c r="N308" s="473"/>
      <c r="O308" s="473"/>
      <c r="P308" s="473"/>
      <c r="Q308" s="473"/>
      <c r="R308" s="473"/>
      <c r="S308" s="473"/>
      <c r="T308" s="473"/>
      <c r="U308" s="473"/>
      <c r="V308" s="473"/>
      <c r="W308" s="473"/>
    </row>
    <row r="309" spans="1:23" ht="11.25" hidden="1" customHeight="1" x14ac:dyDescent="0.25">
      <c r="A309" s="407">
        <f>'Org structure'!E137</f>
        <v>0</v>
      </c>
      <c r="B309" s="445"/>
      <c r="C309" s="394"/>
      <c r="D309" s="383"/>
      <c r="E309" s="384"/>
      <c r="F309" s="472"/>
      <c r="G309" s="384"/>
      <c r="H309" s="472"/>
      <c r="I309" s="44">
        <f t="shared" si="50"/>
        <v>0</v>
      </c>
      <c r="J309" s="330" t="str">
        <f t="shared" si="51"/>
        <v/>
      </c>
      <c r="K309" s="395"/>
      <c r="L309" s="48"/>
      <c r="M309" s="473"/>
      <c r="N309" s="473"/>
      <c r="O309" s="473"/>
      <c r="P309" s="473"/>
      <c r="Q309" s="473"/>
      <c r="R309" s="473"/>
      <c r="S309" s="473"/>
      <c r="T309" s="473"/>
      <c r="U309" s="473"/>
      <c r="V309" s="473"/>
      <c r="W309" s="473"/>
    </row>
    <row r="310" spans="1:23" ht="11.25" hidden="1" customHeight="1" x14ac:dyDescent="0.25">
      <c r="A310" s="407">
        <f>'Org structure'!E138</f>
        <v>0</v>
      </c>
      <c r="B310" s="445"/>
      <c r="C310" s="394"/>
      <c r="D310" s="383"/>
      <c r="E310" s="384"/>
      <c r="F310" s="472"/>
      <c r="G310" s="384"/>
      <c r="H310" s="472"/>
      <c r="I310" s="44">
        <f t="shared" si="50"/>
        <v>0</v>
      </c>
      <c r="J310" s="330" t="str">
        <f t="shared" si="51"/>
        <v/>
      </c>
      <c r="K310" s="395"/>
      <c r="L310" s="48"/>
      <c r="M310" s="473"/>
      <c r="N310" s="473"/>
      <c r="O310" s="473"/>
      <c r="P310" s="473"/>
      <c r="Q310" s="473"/>
      <c r="R310" s="473"/>
      <c r="S310" s="473"/>
      <c r="T310" s="473"/>
      <c r="U310" s="473"/>
      <c r="V310" s="473"/>
      <c r="W310" s="473"/>
    </row>
    <row r="311" spans="1:23" ht="11.25" hidden="1" customHeight="1" x14ac:dyDescent="0.25">
      <c r="A311" s="407">
        <f>'Org structure'!E139</f>
        <v>0</v>
      </c>
      <c r="B311" s="445"/>
      <c r="C311" s="394"/>
      <c r="D311" s="383"/>
      <c r="E311" s="384"/>
      <c r="F311" s="472"/>
      <c r="G311" s="384"/>
      <c r="H311" s="472"/>
      <c r="I311" s="44">
        <f t="shared" si="50"/>
        <v>0</v>
      </c>
      <c r="J311" s="330" t="str">
        <f t="shared" si="51"/>
        <v/>
      </c>
      <c r="K311" s="395"/>
      <c r="L311" s="48"/>
      <c r="M311" s="473"/>
      <c r="N311" s="473"/>
      <c r="O311" s="473"/>
      <c r="P311" s="473"/>
      <c r="Q311" s="473"/>
      <c r="R311" s="473"/>
      <c r="S311" s="473"/>
      <c r="T311" s="473"/>
      <c r="U311" s="473"/>
      <c r="V311" s="473"/>
      <c r="W311" s="473"/>
    </row>
    <row r="312" spans="1:23" ht="11.25" hidden="1" customHeight="1" x14ac:dyDescent="0.25">
      <c r="A312" s="407">
        <f>'Org structure'!E140</f>
        <v>0</v>
      </c>
      <c r="B312" s="445"/>
      <c r="C312" s="394"/>
      <c r="D312" s="383"/>
      <c r="E312" s="384"/>
      <c r="F312" s="472"/>
      <c r="G312" s="384"/>
      <c r="H312" s="472"/>
      <c r="I312" s="44">
        <f t="shared" si="50"/>
        <v>0</v>
      </c>
      <c r="J312" s="330" t="str">
        <f t="shared" si="51"/>
        <v/>
      </c>
      <c r="K312" s="395"/>
      <c r="L312" s="48"/>
      <c r="M312" s="473"/>
      <c r="N312" s="473"/>
      <c r="O312" s="473"/>
      <c r="P312" s="473"/>
      <c r="Q312" s="473"/>
      <c r="R312" s="473"/>
      <c r="S312" s="473"/>
      <c r="T312" s="473"/>
      <c r="U312" s="473"/>
      <c r="V312" s="473"/>
      <c r="W312" s="473"/>
    </row>
    <row r="313" spans="1:23" ht="11.25" hidden="1" customHeight="1" x14ac:dyDescent="0.25">
      <c r="A313" s="407">
        <f>'Org structure'!E141</f>
        <v>0</v>
      </c>
      <c r="B313" s="445"/>
      <c r="C313" s="394"/>
      <c r="D313" s="383"/>
      <c r="E313" s="384"/>
      <c r="F313" s="472"/>
      <c r="G313" s="384"/>
      <c r="H313" s="472"/>
      <c r="I313" s="44">
        <f t="shared" si="50"/>
        <v>0</v>
      </c>
      <c r="J313" s="330" t="str">
        <f t="shared" si="51"/>
        <v/>
      </c>
      <c r="K313" s="395"/>
      <c r="L313" s="48"/>
      <c r="M313" s="473"/>
      <c r="N313" s="473"/>
      <c r="O313" s="473"/>
      <c r="P313" s="473"/>
      <c r="Q313" s="473"/>
      <c r="R313" s="473"/>
      <c r="S313" s="473"/>
      <c r="T313" s="473"/>
      <c r="U313" s="473"/>
      <c r="V313" s="473"/>
      <c r="W313" s="473"/>
    </row>
    <row r="314" spans="1:23" ht="11.25" hidden="1" customHeight="1" x14ac:dyDescent="0.25">
      <c r="A314" s="407">
        <f>'Org structure'!E142</f>
        <v>0</v>
      </c>
      <c r="B314" s="445"/>
      <c r="C314" s="394"/>
      <c r="D314" s="383"/>
      <c r="E314" s="384"/>
      <c r="F314" s="472"/>
      <c r="G314" s="384"/>
      <c r="H314" s="472"/>
      <c r="I314" s="44">
        <f t="shared" si="50"/>
        <v>0</v>
      </c>
      <c r="J314" s="330" t="str">
        <f t="shared" si="51"/>
        <v/>
      </c>
      <c r="K314" s="395"/>
      <c r="L314" s="48"/>
      <c r="M314" s="473"/>
      <c r="N314" s="473"/>
      <c r="O314" s="473"/>
      <c r="P314" s="473"/>
      <c r="Q314" s="473"/>
      <c r="R314" s="473"/>
      <c r="S314" s="473"/>
      <c r="T314" s="473"/>
      <c r="U314" s="473"/>
      <c r="V314" s="473"/>
      <c r="W314" s="473"/>
    </row>
    <row r="315" spans="1:23" ht="11.25" hidden="1" customHeight="1" x14ac:dyDescent="0.25">
      <c r="A315" s="407">
        <f>'Org structure'!E143</f>
        <v>0</v>
      </c>
      <c r="B315" s="445"/>
      <c r="C315" s="394"/>
      <c r="D315" s="383"/>
      <c r="E315" s="384"/>
      <c r="F315" s="472"/>
      <c r="G315" s="384"/>
      <c r="H315" s="472"/>
      <c r="I315" s="44">
        <f t="shared" si="50"/>
        <v>0</v>
      </c>
      <c r="J315" s="330" t="str">
        <f t="shared" si="51"/>
        <v/>
      </c>
      <c r="K315" s="395"/>
      <c r="L315" s="48"/>
      <c r="M315" s="473"/>
      <c r="N315" s="473"/>
      <c r="O315" s="473"/>
      <c r="P315" s="473"/>
      <c r="Q315" s="473"/>
      <c r="R315" s="473"/>
      <c r="S315" s="473"/>
      <c r="T315" s="473"/>
      <c r="U315" s="473"/>
      <c r="V315" s="473"/>
      <c r="W315" s="473"/>
    </row>
    <row r="316" spans="1:23" ht="11.25" hidden="1" customHeight="1" x14ac:dyDescent="0.25">
      <c r="A316" s="407">
        <f>'Org structure'!E144</f>
        <v>0</v>
      </c>
      <c r="B316" s="445"/>
      <c r="C316" s="394"/>
      <c r="D316" s="383"/>
      <c r="E316" s="384"/>
      <c r="F316" s="472"/>
      <c r="G316" s="384"/>
      <c r="H316" s="472"/>
      <c r="I316" s="44">
        <f t="shared" si="50"/>
        <v>0</v>
      </c>
      <c r="J316" s="330" t="str">
        <f t="shared" si="51"/>
        <v/>
      </c>
      <c r="K316" s="395"/>
      <c r="L316" s="48"/>
      <c r="M316" s="473"/>
      <c r="N316" s="473"/>
      <c r="O316" s="473"/>
      <c r="P316" s="473"/>
      <c r="Q316" s="473"/>
      <c r="R316" s="473"/>
      <c r="S316" s="473"/>
      <c r="T316" s="473"/>
      <c r="U316" s="473"/>
      <c r="V316" s="473"/>
      <c r="W316" s="473"/>
    </row>
    <row r="317" spans="1:23" ht="11.25" hidden="1" customHeight="1" x14ac:dyDescent="0.25">
      <c r="A317" s="466" t="str">
        <f>'Org structure'!A15</f>
        <v>Vote 14 - [NAME OF VOTE 14]</v>
      </c>
      <c r="B317" s="445"/>
      <c r="C317" s="503">
        <f t="shared" ref="C317:K317" si="56">SUM(C318:C327)</f>
        <v>0</v>
      </c>
      <c r="D317" s="444">
        <f t="shared" si="56"/>
        <v>0</v>
      </c>
      <c r="E317" s="441">
        <f t="shared" si="56"/>
        <v>0</v>
      </c>
      <c r="F317" s="443">
        <f t="shared" si="56"/>
        <v>0</v>
      </c>
      <c r="G317" s="441">
        <f t="shared" si="56"/>
        <v>0</v>
      </c>
      <c r="H317" s="443">
        <f t="shared" si="56"/>
        <v>0</v>
      </c>
      <c r="I317" s="44">
        <f t="shared" si="50"/>
        <v>0</v>
      </c>
      <c r="J317" s="330" t="str">
        <f t="shared" si="51"/>
        <v/>
      </c>
      <c r="K317" s="442">
        <f t="shared" si="56"/>
        <v>0</v>
      </c>
      <c r="L317" s="48"/>
      <c r="M317" s="473"/>
      <c r="N317" s="473"/>
      <c r="O317" s="473"/>
      <c r="P317" s="473"/>
      <c r="Q317" s="473"/>
      <c r="R317" s="473"/>
      <c r="S317" s="473"/>
      <c r="T317" s="473"/>
      <c r="U317" s="473"/>
      <c r="V317" s="473"/>
      <c r="W317" s="473"/>
    </row>
    <row r="318" spans="1:23" ht="11.25" hidden="1" customHeight="1" x14ac:dyDescent="0.25">
      <c r="A318" s="407" t="str">
        <f>'Org structure'!E146</f>
        <v>14.1 - [Name of sub-vote]</v>
      </c>
      <c r="B318" s="445"/>
      <c r="C318" s="394"/>
      <c r="D318" s="383"/>
      <c r="E318" s="384"/>
      <c r="F318" s="472"/>
      <c r="G318" s="384"/>
      <c r="H318" s="472"/>
      <c r="I318" s="44">
        <f t="shared" si="50"/>
        <v>0</v>
      </c>
      <c r="J318" s="330" t="str">
        <f t="shared" si="51"/>
        <v/>
      </c>
      <c r="K318" s="395"/>
      <c r="L318" s="48"/>
      <c r="M318" s="473"/>
      <c r="N318" s="473"/>
      <c r="O318" s="473"/>
      <c r="P318" s="473"/>
      <c r="Q318" s="473"/>
      <c r="R318" s="473"/>
      <c r="S318" s="473"/>
      <c r="T318" s="473"/>
      <c r="U318" s="473"/>
      <c r="V318" s="473"/>
      <c r="W318" s="473"/>
    </row>
    <row r="319" spans="1:23" ht="11.25" hidden="1" customHeight="1" x14ac:dyDescent="0.25">
      <c r="A319" s="407">
        <f>'Org structure'!E147</f>
        <v>0</v>
      </c>
      <c r="B319" s="445"/>
      <c r="C319" s="394"/>
      <c r="D319" s="383"/>
      <c r="E319" s="384"/>
      <c r="F319" s="472"/>
      <c r="G319" s="384"/>
      <c r="H319" s="472"/>
      <c r="I319" s="44">
        <f t="shared" si="50"/>
        <v>0</v>
      </c>
      <c r="J319" s="330" t="str">
        <f t="shared" si="51"/>
        <v/>
      </c>
      <c r="K319" s="395"/>
      <c r="L319" s="48"/>
      <c r="M319" s="473"/>
      <c r="N319" s="473"/>
      <c r="O319" s="473"/>
      <c r="P319" s="473"/>
      <c r="Q319" s="473"/>
      <c r="R319" s="473"/>
      <c r="S319" s="473"/>
      <c r="T319" s="473"/>
      <c r="U319" s="473"/>
      <c r="V319" s="473"/>
      <c r="W319" s="473"/>
    </row>
    <row r="320" spans="1:23" ht="11.25" hidden="1" customHeight="1" x14ac:dyDescent="0.25">
      <c r="A320" s="407">
        <f>'Org structure'!E148</f>
        <v>0</v>
      </c>
      <c r="B320" s="445"/>
      <c r="C320" s="394"/>
      <c r="D320" s="383"/>
      <c r="E320" s="384"/>
      <c r="F320" s="472"/>
      <c r="G320" s="384"/>
      <c r="H320" s="472"/>
      <c r="I320" s="44">
        <f t="shared" si="50"/>
        <v>0</v>
      </c>
      <c r="J320" s="330" t="str">
        <f t="shared" si="51"/>
        <v/>
      </c>
      <c r="K320" s="395"/>
      <c r="L320" s="48"/>
      <c r="M320" s="473"/>
      <c r="N320" s="473"/>
      <c r="O320" s="473"/>
      <c r="P320" s="473"/>
      <c r="Q320" s="473"/>
      <c r="R320" s="473"/>
      <c r="S320" s="473"/>
      <c r="T320" s="473"/>
      <c r="U320" s="473"/>
      <c r="V320" s="473"/>
      <c r="W320" s="473"/>
    </row>
    <row r="321" spans="1:23" ht="11.25" hidden="1" customHeight="1" x14ac:dyDescent="0.25">
      <c r="A321" s="407">
        <f>'Org structure'!E149</f>
        <v>0</v>
      </c>
      <c r="B321" s="445"/>
      <c r="C321" s="394"/>
      <c r="D321" s="383"/>
      <c r="E321" s="384"/>
      <c r="F321" s="472"/>
      <c r="G321" s="384"/>
      <c r="H321" s="472"/>
      <c r="I321" s="44">
        <f t="shared" si="50"/>
        <v>0</v>
      </c>
      <c r="J321" s="330" t="str">
        <f t="shared" si="51"/>
        <v/>
      </c>
      <c r="K321" s="395"/>
      <c r="L321" s="48"/>
      <c r="M321" s="473"/>
      <c r="N321" s="473"/>
      <c r="O321" s="473"/>
      <c r="P321" s="473"/>
      <c r="Q321" s="473"/>
      <c r="R321" s="473"/>
      <c r="S321" s="473"/>
      <c r="T321" s="473"/>
      <c r="U321" s="473"/>
      <c r="V321" s="473"/>
      <c r="W321" s="473"/>
    </row>
    <row r="322" spans="1:23" ht="11.25" hidden="1" customHeight="1" x14ac:dyDescent="0.25">
      <c r="A322" s="407">
        <f>'Org structure'!E150</f>
        <v>0</v>
      </c>
      <c r="B322" s="445"/>
      <c r="C322" s="394"/>
      <c r="D322" s="383"/>
      <c r="E322" s="384"/>
      <c r="F322" s="472"/>
      <c r="G322" s="384"/>
      <c r="H322" s="472"/>
      <c r="I322" s="44">
        <f t="shared" si="50"/>
        <v>0</v>
      </c>
      <c r="J322" s="330" t="str">
        <f t="shared" si="51"/>
        <v/>
      </c>
      <c r="K322" s="395"/>
      <c r="L322" s="48"/>
      <c r="M322" s="473"/>
      <c r="N322" s="473"/>
      <c r="O322" s="473"/>
      <c r="P322" s="473"/>
      <c r="Q322" s="473"/>
      <c r="R322" s="473"/>
      <c r="S322" s="473"/>
      <c r="T322" s="473"/>
      <c r="U322" s="473"/>
      <c r="V322" s="473"/>
      <c r="W322" s="473"/>
    </row>
    <row r="323" spans="1:23" ht="11.25" hidden="1" customHeight="1" x14ac:dyDescent="0.25">
      <c r="A323" s="407">
        <f>'Org structure'!E151</f>
        <v>0</v>
      </c>
      <c r="B323" s="445"/>
      <c r="C323" s="394"/>
      <c r="D323" s="383"/>
      <c r="E323" s="384"/>
      <c r="F323" s="472"/>
      <c r="G323" s="384"/>
      <c r="H323" s="472"/>
      <c r="I323" s="44">
        <f t="shared" si="50"/>
        <v>0</v>
      </c>
      <c r="J323" s="330" t="str">
        <f t="shared" si="51"/>
        <v/>
      </c>
      <c r="K323" s="395"/>
      <c r="L323" s="48"/>
      <c r="M323" s="473"/>
      <c r="N323" s="473"/>
      <c r="O323" s="473"/>
      <c r="P323" s="473"/>
      <c r="Q323" s="473"/>
      <c r="R323" s="473"/>
      <c r="S323" s="473"/>
      <c r="T323" s="473"/>
      <c r="U323" s="473"/>
      <c r="V323" s="473"/>
      <c r="W323" s="473"/>
    </row>
    <row r="324" spans="1:23" ht="11.25" hidden="1" customHeight="1" x14ac:dyDescent="0.25">
      <c r="A324" s="407">
        <f>'Org structure'!E152</f>
        <v>0</v>
      </c>
      <c r="B324" s="445"/>
      <c r="C324" s="394"/>
      <c r="D324" s="383"/>
      <c r="E324" s="384"/>
      <c r="F324" s="472"/>
      <c r="G324" s="384"/>
      <c r="H324" s="472"/>
      <c r="I324" s="44">
        <f t="shared" si="50"/>
        <v>0</v>
      </c>
      <c r="J324" s="330" t="str">
        <f t="shared" si="51"/>
        <v/>
      </c>
      <c r="K324" s="395"/>
      <c r="L324" s="48"/>
      <c r="M324" s="473"/>
      <c r="N324" s="473"/>
      <c r="O324" s="473"/>
      <c r="P324" s="473"/>
      <c r="Q324" s="473"/>
      <c r="R324" s="473"/>
      <c r="S324" s="473"/>
      <c r="T324" s="473"/>
      <c r="U324" s="473"/>
      <c r="V324" s="473"/>
      <c r="W324" s="473"/>
    </row>
    <row r="325" spans="1:23" ht="11.25" hidden="1" customHeight="1" x14ac:dyDescent="0.25">
      <c r="A325" s="407">
        <f>'Org structure'!E153</f>
        <v>0</v>
      </c>
      <c r="B325" s="445"/>
      <c r="C325" s="394"/>
      <c r="D325" s="383"/>
      <c r="E325" s="384"/>
      <c r="F325" s="472"/>
      <c r="G325" s="384"/>
      <c r="H325" s="472"/>
      <c r="I325" s="44">
        <f t="shared" si="50"/>
        <v>0</v>
      </c>
      <c r="J325" s="330" t="str">
        <f t="shared" si="51"/>
        <v/>
      </c>
      <c r="K325" s="395"/>
      <c r="L325" s="48"/>
      <c r="M325" s="473"/>
      <c r="N325" s="473"/>
      <c r="O325" s="473"/>
      <c r="P325" s="473"/>
      <c r="Q325" s="473"/>
      <c r="R325" s="473"/>
      <c r="S325" s="473"/>
      <c r="T325" s="473"/>
      <c r="U325" s="473"/>
      <c r="V325" s="473"/>
      <c r="W325" s="473"/>
    </row>
    <row r="326" spans="1:23" ht="11.25" hidden="1" customHeight="1" x14ac:dyDescent="0.25">
      <c r="A326" s="407">
        <f>'Org structure'!E154</f>
        <v>0</v>
      </c>
      <c r="B326" s="445"/>
      <c r="C326" s="394"/>
      <c r="D326" s="383"/>
      <c r="E326" s="384"/>
      <c r="F326" s="472"/>
      <c r="G326" s="384"/>
      <c r="H326" s="472"/>
      <c r="I326" s="44">
        <f t="shared" ref="I326:I341" si="57">G326-H326</f>
        <v>0</v>
      </c>
      <c r="J326" s="330" t="str">
        <f t="shared" ref="J326:J341" si="58">IF(I326=0,"",I326/H326)</f>
        <v/>
      </c>
      <c r="K326" s="395"/>
      <c r="L326" s="48"/>
      <c r="M326" s="473"/>
      <c r="N326" s="473"/>
      <c r="O326" s="473"/>
      <c r="P326" s="473"/>
      <c r="Q326" s="473"/>
      <c r="R326" s="473"/>
      <c r="S326" s="473"/>
      <c r="T326" s="473"/>
      <c r="U326" s="473"/>
      <c r="V326" s="473"/>
      <c r="W326" s="473"/>
    </row>
    <row r="327" spans="1:23" ht="11.25" hidden="1" customHeight="1" x14ac:dyDescent="0.25">
      <c r="A327" s="407">
        <f>'Org structure'!E155</f>
        <v>0</v>
      </c>
      <c r="B327" s="445"/>
      <c r="C327" s="394"/>
      <c r="D327" s="383"/>
      <c r="E327" s="384"/>
      <c r="F327" s="472"/>
      <c r="G327" s="384"/>
      <c r="H327" s="472"/>
      <c r="I327" s="44">
        <f t="shared" si="57"/>
        <v>0</v>
      </c>
      <c r="J327" s="330" t="str">
        <f t="shared" si="58"/>
        <v/>
      </c>
      <c r="K327" s="395"/>
      <c r="L327" s="48"/>
      <c r="M327" s="473"/>
      <c r="N327" s="473"/>
      <c r="O327" s="473"/>
      <c r="P327" s="473"/>
      <c r="Q327" s="473"/>
      <c r="R327" s="473"/>
      <c r="S327" s="473"/>
      <c r="T327" s="473"/>
      <c r="U327" s="473"/>
      <c r="V327" s="473"/>
      <c r="W327" s="473"/>
    </row>
    <row r="328" spans="1:23" ht="11.25" hidden="1" customHeight="1" x14ac:dyDescent="0.25">
      <c r="A328" s="466" t="str">
        <f>'Org structure'!A16</f>
        <v>Vote 15 - [NAME OF VOTE 15]</v>
      </c>
      <c r="B328" s="445"/>
      <c r="C328" s="503">
        <f t="shared" ref="C328:K328" si="59">SUM(C329:C338)</f>
        <v>0</v>
      </c>
      <c r="D328" s="444">
        <f t="shared" si="59"/>
        <v>0</v>
      </c>
      <c r="E328" s="441">
        <f t="shared" si="59"/>
        <v>0</v>
      </c>
      <c r="F328" s="443">
        <f t="shared" si="59"/>
        <v>0</v>
      </c>
      <c r="G328" s="441">
        <f t="shared" si="59"/>
        <v>0</v>
      </c>
      <c r="H328" s="443">
        <f t="shared" si="59"/>
        <v>0</v>
      </c>
      <c r="I328" s="44">
        <f t="shared" si="57"/>
        <v>0</v>
      </c>
      <c r="J328" s="330" t="str">
        <f t="shared" si="58"/>
        <v/>
      </c>
      <c r="K328" s="442">
        <f t="shared" si="59"/>
        <v>0</v>
      </c>
      <c r="L328" s="48"/>
      <c r="M328" s="473"/>
      <c r="N328" s="473"/>
      <c r="O328" s="473"/>
      <c r="P328" s="473"/>
      <c r="Q328" s="473"/>
      <c r="R328" s="473"/>
      <c r="S328" s="473"/>
      <c r="T328" s="473"/>
      <c r="U328" s="473"/>
      <c r="V328" s="473"/>
      <c r="W328" s="473"/>
    </row>
    <row r="329" spans="1:23" ht="11.25" hidden="1" customHeight="1" x14ac:dyDescent="0.25">
      <c r="A329" s="407" t="str">
        <f>'Org structure'!E157</f>
        <v>15.1 - [Name of sub-vote]</v>
      </c>
      <c r="B329" s="445"/>
      <c r="C329" s="394"/>
      <c r="D329" s="383"/>
      <c r="E329" s="384"/>
      <c r="F329" s="472"/>
      <c r="G329" s="384"/>
      <c r="H329" s="472"/>
      <c r="I329" s="44">
        <f t="shared" si="57"/>
        <v>0</v>
      </c>
      <c r="J329" s="330" t="str">
        <f t="shared" si="58"/>
        <v/>
      </c>
      <c r="K329" s="395"/>
      <c r="L329" s="48"/>
      <c r="M329" s="473"/>
      <c r="N329" s="473"/>
      <c r="O329" s="473"/>
      <c r="P329" s="473"/>
      <c r="Q329" s="473"/>
      <c r="R329" s="473"/>
      <c r="S329" s="473"/>
      <c r="T329" s="473"/>
      <c r="U329" s="473"/>
      <c r="V329" s="473"/>
      <c r="W329" s="473"/>
    </row>
    <row r="330" spans="1:23" ht="11.25" hidden="1" customHeight="1" x14ac:dyDescent="0.25">
      <c r="A330" s="407">
        <f>'Org structure'!E158</f>
        <v>0</v>
      </c>
      <c r="B330" s="445"/>
      <c r="C330" s="394"/>
      <c r="D330" s="383"/>
      <c r="E330" s="384"/>
      <c r="F330" s="472"/>
      <c r="G330" s="384"/>
      <c r="H330" s="472"/>
      <c r="I330" s="44">
        <f t="shared" si="57"/>
        <v>0</v>
      </c>
      <c r="J330" s="330" t="str">
        <f t="shared" si="58"/>
        <v/>
      </c>
      <c r="K330" s="395"/>
      <c r="L330" s="48"/>
      <c r="M330" s="473"/>
      <c r="N330" s="473"/>
      <c r="O330" s="473"/>
      <c r="P330" s="473"/>
      <c r="Q330" s="473"/>
      <c r="R330" s="473"/>
      <c r="S330" s="473"/>
      <c r="T330" s="473"/>
      <c r="U330" s="473"/>
      <c r="V330" s="473"/>
      <c r="W330" s="473"/>
    </row>
    <row r="331" spans="1:23" ht="11.25" hidden="1" customHeight="1" x14ac:dyDescent="0.25">
      <c r="A331" s="407">
        <f>'Org structure'!E159</f>
        <v>0</v>
      </c>
      <c r="B331" s="445"/>
      <c r="C331" s="394"/>
      <c r="D331" s="383"/>
      <c r="E331" s="384"/>
      <c r="F331" s="472"/>
      <c r="G331" s="384"/>
      <c r="H331" s="472"/>
      <c r="I331" s="44">
        <f t="shared" si="57"/>
        <v>0</v>
      </c>
      <c r="J331" s="330" t="str">
        <f t="shared" si="58"/>
        <v/>
      </c>
      <c r="K331" s="395"/>
      <c r="L331" s="48"/>
      <c r="M331" s="473"/>
      <c r="N331" s="473"/>
      <c r="O331" s="473"/>
      <c r="P331" s="473"/>
      <c r="Q331" s="473"/>
      <c r="R331" s="473"/>
      <c r="S331" s="473"/>
      <c r="T331" s="473"/>
      <c r="U331" s="473"/>
      <c r="V331" s="473"/>
      <c r="W331" s="473"/>
    </row>
    <row r="332" spans="1:23" ht="11.25" hidden="1" customHeight="1" x14ac:dyDescent="0.25">
      <c r="A332" s="407">
        <f>'Org structure'!E160</f>
        <v>0</v>
      </c>
      <c r="B332" s="445"/>
      <c r="C332" s="394"/>
      <c r="D332" s="383"/>
      <c r="E332" s="384"/>
      <c r="F332" s="472"/>
      <c r="G332" s="384"/>
      <c r="H332" s="472"/>
      <c r="I332" s="44">
        <f t="shared" si="57"/>
        <v>0</v>
      </c>
      <c r="J332" s="330" t="str">
        <f t="shared" si="58"/>
        <v/>
      </c>
      <c r="K332" s="395"/>
      <c r="L332" s="48"/>
      <c r="M332" s="473"/>
      <c r="N332" s="473"/>
      <c r="O332" s="473"/>
      <c r="P332" s="473"/>
      <c r="Q332" s="473"/>
      <c r="R332" s="473"/>
      <c r="S332" s="473"/>
      <c r="T332" s="473"/>
      <c r="U332" s="473"/>
      <c r="V332" s="473"/>
      <c r="W332" s="473"/>
    </row>
    <row r="333" spans="1:23" ht="11.25" hidden="1" customHeight="1" x14ac:dyDescent="0.25">
      <c r="A333" s="407">
        <f>'Org structure'!E161</f>
        <v>0</v>
      </c>
      <c r="B333" s="445"/>
      <c r="C333" s="394"/>
      <c r="D333" s="383"/>
      <c r="E333" s="384"/>
      <c r="F333" s="472"/>
      <c r="G333" s="384"/>
      <c r="H333" s="472"/>
      <c r="I333" s="44">
        <f t="shared" si="57"/>
        <v>0</v>
      </c>
      <c r="J333" s="330" t="str">
        <f t="shared" si="58"/>
        <v/>
      </c>
      <c r="K333" s="395"/>
      <c r="L333" s="48"/>
      <c r="M333" s="473"/>
      <c r="N333" s="473"/>
      <c r="O333" s="473"/>
      <c r="P333" s="473"/>
      <c r="Q333" s="473"/>
      <c r="R333" s="473"/>
      <c r="S333" s="473"/>
      <c r="T333" s="473"/>
      <c r="U333" s="473"/>
      <c r="V333" s="473"/>
      <c r="W333" s="473"/>
    </row>
    <row r="334" spans="1:23" ht="11.25" hidden="1" customHeight="1" x14ac:dyDescent="0.25">
      <c r="A334" s="407">
        <f>'Org structure'!E162</f>
        <v>0</v>
      </c>
      <c r="B334" s="445"/>
      <c r="C334" s="394"/>
      <c r="D334" s="383"/>
      <c r="E334" s="384"/>
      <c r="F334" s="472"/>
      <c r="G334" s="384"/>
      <c r="H334" s="472"/>
      <c r="I334" s="44">
        <f t="shared" si="57"/>
        <v>0</v>
      </c>
      <c r="J334" s="330" t="str">
        <f t="shared" si="58"/>
        <v/>
      </c>
      <c r="K334" s="395"/>
      <c r="L334" s="48"/>
      <c r="M334" s="473"/>
      <c r="N334" s="473"/>
      <c r="O334" s="473"/>
      <c r="P334" s="473"/>
      <c r="Q334" s="473"/>
      <c r="R334" s="473"/>
      <c r="S334" s="473"/>
      <c r="T334" s="473"/>
      <c r="U334" s="473"/>
      <c r="V334" s="473"/>
      <c r="W334" s="473"/>
    </row>
    <row r="335" spans="1:23" ht="11.25" hidden="1" customHeight="1" x14ac:dyDescent="0.25">
      <c r="A335" s="407">
        <f>'Org structure'!E163</f>
        <v>0</v>
      </c>
      <c r="B335" s="445"/>
      <c r="C335" s="394"/>
      <c r="D335" s="383"/>
      <c r="E335" s="384"/>
      <c r="F335" s="472"/>
      <c r="G335" s="384"/>
      <c r="H335" s="472"/>
      <c r="I335" s="44">
        <f t="shared" si="57"/>
        <v>0</v>
      </c>
      <c r="J335" s="330" t="str">
        <f t="shared" si="58"/>
        <v/>
      </c>
      <c r="K335" s="395"/>
      <c r="L335" s="48"/>
      <c r="M335" s="473"/>
      <c r="N335" s="473"/>
      <c r="O335" s="473"/>
      <c r="P335" s="473"/>
      <c r="Q335" s="473"/>
      <c r="R335" s="473"/>
      <c r="S335" s="473"/>
      <c r="T335" s="473"/>
      <c r="U335" s="473"/>
      <c r="V335" s="473"/>
      <c r="W335" s="473"/>
    </row>
    <row r="336" spans="1:23" ht="11.25" hidden="1" customHeight="1" x14ac:dyDescent="0.25">
      <c r="A336" s="407">
        <f>'Org structure'!E164</f>
        <v>0</v>
      </c>
      <c r="B336" s="445"/>
      <c r="C336" s="394"/>
      <c r="D336" s="383"/>
      <c r="E336" s="384"/>
      <c r="F336" s="472"/>
      <c r="G336" s="384"/>
      <c r="H336" s="472"/>
      <c r="I336" s="44">
        <f t="shared" si="57"/>
        <v>0</v>
      </c>
      <c r="J336" s="330" t="str">
        <f t="shared" si="58"/>
        <v/>
      </c>
      <c r="K336" s="395"/>
      <c r="L336" s="48"/>
      <c r="M336" s="473"/>
      <c r="N336" s="473"/>
      <c r="O336" s="473"/>
      <c r="P336" s="473"/>
      <c r="Q336" s="473"/>
      <c r="R336" s="473"/>
      <c r="S336" s="473"/>
      <c r="T336" s="473"/>
      <c r="U336" s="473"/>
      <c r="V336" s="473"/>
      <c r="W336" s="473"/>
    </row>
    <row r="337" spans="1:24" ht="11.25" hidden="1" customHeight="1" x14ac:dyDescent="0.25">
      <c r="A337" s="407">
        <f>'Org structure'!E165</f>
        <v>0</v>
      </c>
      <c r="B337" s="445"/>
      <c r="C337" s="394"/>
      <c r="D337" s="383"/>
      <c r="E337" s="384"/>
      <c r="F337" s="472"/>
      <c r="G337" s="384"/>
      <c r="H337" s="472"/>
      <c r="I337" s="44">
        <f t="shared" si="57"/>
        <v>0</v>
      </c>
      <c r="J337" s="330" t="str">
        <f t="shared" si="58"/>
        <v/>
      </c>
      <c r="K337" s="395"/>
      <c r="L337" s="48"/>
      <c r="M337" s="473"/>
      <c r="N337" s="473"/>
      <c r="O337" s="473"/>
      <c r="P337" s="473"/>
      <c r="Q337" s="473"/>
      <c r="R337" s="473"/>
      <c r="S337" s="473"/>
      <c r="T337" s="473"/>
      <c r="U337" s="473"/>
      <c r="V337" s="473"/>
      <c r="W337" s="473"/>
    </row>
    <row r="338" spans="1:24" ht="11.25" hidden="1" customHeight="1" x14ac:dyDescent="0.25">
      <c r="A338" s="407">
        <f>'Org structure'!E166</f>
        <v>0</v>
      </c>
      <c r="B338" s="445"/>
      <c r="C338" s="394"/>
      <c r="D338" s="383"/>
      <c r="E338" s="384"/>
      <c r="F338" s="472"/>
      <c r="G338" s="384"/>
      <c r="H338" s="472"/>
      <c r="I338" s="44">
        <f t="shared" si="57"/>
        <v>0</v>
      </c>
      <c r="J338" s="330" t="str">
        <f t="shared" si="58"/>
        <v/>
      </c>
      <c r="K338" s="395"/>
      <c r="L338" s="452">
        <f t="shared" ref="L338:W338" si="60">SUM(L173:L249)</f>
        <v>0</v>
      </c>
      <c r="M338" s="453">
        <f t="shared" si="60"/>
        <v>0</v>
      </c>
      <c r="N338" s="453">
        <f t="shared" si="60"/>
        <v>0</v>
      </c>
      <c r="O338" s="453">
        <f t="shared" si="60"/>
        <v>0</v>
      </c>
      <c r="P338" s="453">
        <f t="shared" si="60"/>
        <v>0</v>
      </c>
      <c r="Q338" s="453">
        <f t="shared" si="60"/>
        <v>0</v>
      </c>
      <c r="R338" s="453">
        <f t="shared" si="60"/>
        <v>0</v>
      </c>
      <c r="S338" s="453">
        <f t="shared" si="60"/>
        <v>0</v>
      </c>
      <c r="T338" s="453">
        <f t="shared" si="60"/>
        <v>0</v>
      </c>
      <c r="U338" s="453">
        <f t="shared" si="60"/>
        <v>0</v>
      </c>
      <c r="V338" s="453">
        <f t="shared" si="60"/>
        <v>0</v>
      </c>
      <c r="W338" s="453">
        <f t="shared" si="60"/>
        <v>0</v>
      </c>
    </row>
    <row r="339" spans="1:24" ht="12.75" customHeight="1" x14ac:dyDescent="0.25">
      <c r="A339" s="447" t="s">
        <v>634</v>
      </c>
      <c r="B339" s="445">
        <v>2</v>
      </c>
      <c r="C339" s="508">
        <f t="shared" ref="C339:H339" si="61">C174+C185+C196+C207+C218+C229+C240+C251+C262++C273+C284+C295+C306+C317+C328</f>
        <v>0</v>
      </c>
      <c r="D339" s="475">
        <f t="shared" si="61"/>
        <v>5516477469.544631</v>
      </c>
      <c r="E339" s="430">
        <f t="shared" si="61"/>
        <v>5563089858.9270735</v>
      </c>
      <c r="F339" s="474">
        <f t="shared" si="61"/>
        <v>412456854.27999997</v>
      </c>
      <c r="G339" s="430">
        <f t="shared" si="61"/>
        <v>2724304569.9399986</v>
      </c>
      <c r="H339" s="474">
        <f t="shared" si="61"/>
        <v>2781544929.4635372</v>
      </c>
      <c r="I339" s="430">
        <f t="shared" si="57"/>
        <v>-57240359.523538589</v>
      </c>
      <c r="J339" s="430">
        <f t="shared" si="58"/>
        <v>-2.0578621224924185E-2</v>
      </c>
      <c r="K339" s="513">
        <f>K174+K185+K196+K207+K218+K229+K240+K251+K262++K273+K284+K295+K306+K317+K328</f>
        <v>5563089858.9270735</v>
      </c>
      <c r="L339" s="476"/>
      <c r="M339" s="52"/>
      <c r="N339" s="52"/>
      <c r="O339" s="52"/>
      <c r="P339" s="52"/>
      <c r="Q339" s="52"/>
      <c r="R339" s="52"/>
      <c r="S339" s="52"/>
      <c r="T339" s="52"/>
      <c r="U339" s="52"/>
      <c r="V339" s="52"/>
      <c r="W339" s="52"/>
    </row>
    <row r="340" spans="1:24" ht="4.5" customHeight="1" thickBot="1" x14ac:dyDescent="0.3">
      <c r="A340" s="885"/>
      <c r="B340" s="445"/>
      <c r="C340" s="110"/>
      <c r="D340" s="51"/>
      <c r="E340" s="50"/>
      <c r="F340" s="49"/>
      <c r="G340" s="50"/>
      <c r="H340" s="49"/>
      <c r="I340" s="50">
        <f t="shared" si="57"/>
        <v>0</v>
      </c>
      <c r="J340" s="50" t="str">
        <f t="shared" si="58"/>
        <v/>
      </c>
      <c r="K340" s="194"/>
      <c r="L340" s="480">
        <f t="shared" ref="L340:W340" si="62">L170-L338</f>
        <v>0</v>
      </c>
      <c r="M340" s="481">
        <f t="shared" si="62"/>
        <v>0</v>
      </c>
      <c r="N340" s="481">
        <f t="shared" si="62"/>
        <v>0</v>
      </c>
      <c r="O340" s="481">
        <f t="shared" si="62"/>
        <v>0</v>
      </c>
      <c r="P340" s="481">
        <f t="shared" si="62"/>
        <v>0</v>
      </c>
      <c r="Q340" s="481">
        <f t="shared" si="62"/>
        <v>0</v>
      </c>
      <c r="R340" s="481">
        <f t="shared" si="62"/>
        <v>0</v>
      </c>
      <c r="S340" s="481">
        <f t="shared" si="62"/>
        <v>0</v>
      </c>
      <c r="T340" s="481">
        <f t="shared" si="62"/>
        <v>0</v>
      </c>
      <c r="U340" s="481">
        <f t="shared" si="62"/>
        <v>0</v>
      </c>
      <c r="V340" s="481">
        <f t="shared" si="62"/>
        <v>0</v>
      </c>
      <c r="W340" s="481">
        <f t="shared" si="62"/>
        <v>0</v>
      </c>
    </row>
    <row r="341" spans="1:24" s="486" customFormat="1" ht="11.25" customHeight="1" thickTop="1" x14ac:dyDescent="0.25">
      <c r="A341" s="886" t="str">
        <f>result</f>
        <v>Surplus/ (Deficit) for the year</v>
      </c>
      <c r="B341" s="477">
        <v>2</v>
      </c>
      <c r="C341" s="509">
        <f t="shared" ref="C341:H341" si="63">C171-C339</f>
        <v>0</v>
      </c>
      <c r="D341" s="512">
        <f t="shared" si="63"/>
        <v>927224369.32743359</v>
      </c>
      <c r="E341" s="55">
        <f t="shared" si="63"/>
        <v>969609979.94499111</v>
      </c>
      <c r="F341" s="479">
        <f t="shared" si="63"/>
        <v>321041897.30999994</v>
      </c>
      <c r="G341" s="55">
        <f t="shared" si="63"/>
        <v>583586118.05000114</v>
      </c>
      <c r="H341" s="479">
        <f t="shared" si="63"/>
        <v>484804989.97249508</v>
      </c>
      <c r="I341" s="55">
        <f t="shared" si="57"/>
        <v>98781128.077506065</v>
      </c>
      <c r="J341" s="55">
        <f t="shared" si="58"/>
        <v>0.20375435509257095</v>
      </c>
      <c r="K341" s="235">
        <f>K171-K339</f>
        <v>969609979.94499111</v>
      </c>
    </row>
    <row r="342" spans="1:24" s="486" customFormat="1" ht="11.25" customHeight="1" x14ac:dyDescent="0.25">
      <c r="A342" s="482" t="str">
        <f>head27a</f>
        <v>References</v>
      </c>
      <c r="B342" s="483"/>
      <c r="C342" s="484"/>
      <c r="D342" s="485"/>
      <c r="E342" s="485"/>
      <c r="F342" s="485"/>
      <c r="G342" s="485"/>
      <c r="H342" s="485"/>
      <c r="I342" s="485"/>
      <c r="J342" s="485"/>
      <c r="K342" s="485"/>
    </row>
    <row r="343" spans="1:24" s="486" customFormat="1" ht="11.25" customHeight="1" x14ac:dyDescent="0.25">
      <c r="A343" s="487" t="s">
        <v>121</v>
      </c>
      <c r="B343" s="483"/>
      <c r="C343" s="488"/>
      <c r="D343" s="488"/>
      <c r="E343" s="489"/>
      <c r="F343" s="489"/>
      <c r="G343" s="489"/>
      <c r="H343" s="489"/>
      <c r="I343" s="489"/>
      <c r="J343" s="489"/>
      <c r="K343" s="489"/>
    </row>
    <row r="344" spans="1:24" s="486" customFormat="1" ht="11.25" customHeight="1" x14ac:dyDescent="0.25">
      <c r="A344" s="490" t="s">
        <v>122</v>
      </c>
      <c r="B344" s="483"/>
      <c r="C344" s="488"/>
      <c r="D344" s="488"/>
      <c r="E344" s="489"/>
      <c r="F344" s="489"/>
      <c r="G344" s="489"/>
      <c r="H344" s="489"/>
      <c r="I344" s="489"/>
      <c r="J344" s="489"/>
      <c r="K344" s="489"/>
    </row>
    <row r="345" spans="1:24" ht="11.25" customHeight="1" x14ac:dyDescent="0.25">
      <c r="A345" s="490" t="s">
        <v>123</v>
      </c>
      <c r="B345" s="491"/>
      <c r="C345" s="492"/>
      <c r="D345" s="492"/>
      <c r="E345" s="493"/>
      <c r="F345" s="493"/>
      <c r="G345" s="493"/>
      <c r="H345" s="493"/>
      <c r="I345" s="493"/>
      <c r="J345" s="493"/>
      <c r="K345" s="493"/>
    </row>
    <row r="346" spans="1:24" ht="11.25" customHeight="1" x14ac:dyDescent="0.25">
      <c r="A346" s="67"/>
    </row>
    <row r="347" spans="1:24" ht="11.25" customHeight="1" x14ac:dyDescent="0.25">
      <c r="A347" s="495" t="s">
        <v>124</v>
      </c>
      <c r="B347" s="678"/>
      <c r="C347" s="679"/>
      <c r="D347" s="679"/>
      <c r="E347" s="679"/>
      <c r="F347" s="679"/>
      <c r="G347" s="679"/>
      <c r="H347" s="679"/>
      <c r="I347" s="679"/>
      <c r="J347" s="679"/>
      <c r="K347" s="679"/>
      <c r="L347" s="100"/>
      <c r="M347" s="100"/>
      <c r="N347" s="100"/>
      <c r="O347" s="100"/>
      <c r="P347" s="100"/>
      <c r="Q347" s="100"/>
      <c r="R347" s="100"/>
      <c r="S347" s="100"/>
      <c r="T347" s="100"/>
      <c r="U347" s="100"/>
      <c r="V347" s="100"/>
      <c r="W347" s="100"/>
      <c r="X347" s="100"/>
    </row>
    <row r="348" spans="1:24" ht="11.25" customHeight="1" x14ac:dyDescent="0.25">
      <c r="A348" s="495" t="s">
        <v>125</v>
      </c>
      <c r="B348" s="678"/>
      <c r="C348" s="679"/>
      <c r="D348" s="679"/>
      <c r="E348" s="679"/>
      <c r="F348" s="679"/>
      <c r="G348" s="679"/>
      <c r="H348" s="679"/>
      <c r="I348" s="679"/>
      <c r="J348" s="679"/>
      <c r="K348" s="679"/>
      <c r="L348" s="100"/>
      <c r="M348" s="100"/>
      <c r="N348" s="100"/>
      <c r="O348" s="100"/>
      <c r="P348" s="100"/>
      <c r="Q348" s="100"/>
      <c r="R348" s="100"/>
      <c r="S348" s="100"/>
      <c r="T348" s="100"/>
      <c r="U348" s="100"/>
      <c r="V348" s="100"/>
      <c r="W348" s="100"/>
      <c r="X348" s="100"/>
    </row>
    <row r="349" spans="1:24" ht="11.25" customHeight="1" x14ac:dyDescent="0.25">
      <c r="A349" s="67"/>
    </row>
    <row r="350" spans="1:24" ht="11.25" customHeight="1" x14ac:dyDescent="0.25">
      <c r="A350" s="67"/>
    </row>
    <row r="351" spans="1:24" ht="11.25" customHeight="1" x14ac:dyDescent="0.25">
      <c r="A351" s="67"/>
    </row>
    <row r="352" spans="1:24"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sheetData>
  <mergeCells count="2">
    <mergeCell ref="L2:W2"/>
    <mergeCell ref="D2:K2"/>
  </mergeCells>
  <phoneticPr fontId="2" type="noConversion"/>
  <pageMargins left="0.75" right="0.75" top="1" bottom="1" header="0.5" footer="0.5"/>
  <pageSetup orientation="portrait" r:id="rId1"/>
  <headerFooter alignWithMargins="0"/>
  <ignoredErrors>
    <ignoredError sqref="A6:A170"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indexed="44"/>
    <pageSetUpPr fitToPage="1"/>
  </sheetPr>
  <dimension ref="A1:IV93"/>
  <sheetViews>
    <sheetView showGridLines="0" zoomScaleNormal="100" workbookViewId="0">
      <pane xSplit="2" ySplit="4" topLeftCell="C20" activePane="bottomRight" state="frozen"/>
      <selection pane="topRight"/>
      <selection pane="bottomLeft"/>
      <selection pane="bottomRight" activeCell="M34" sqref="M34"/>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3" t="str">
        <f>muni&amp; " - "&amp;S71B&amp; " - "&amp;date</f>
        <v>KZN225 Msunduzi - Table C4 Consolidated Monthly Budget Statement - Financial Performance (revenue and expenditure)  - Mid-Year Assessment</v>
      </c>
      <c r="B1" s="1053"/>
      <c r="C1" s="1053"/>
      <c r="D1" s="1053"/>
      <c r="E1" s="1053"/>
      <c r="F1" s="1053"/>
      <c r="G1" s="1053"/>
      <c r="H1" s="1053"/>
      <c r="I1" s="1053"/>
      <c r="J1" s="1053"/>
      <c r="K1" s="1053"/>
    </row>
    <row r="2" spans="1:11" x14ac:dyDescent="0.25">
      <c r="A2" s="1042" t="str">
        <f>desc</f>
        <v>Description</v>
      </c>
      <c r="B2" s="1051" t="str">
        <f>head27</f>
        <v>Ref</v>
      </c>
      <c r="C2" s="158" t="str">
        <f>Head1</f>
        <v>2019/20</v>
      </c>
      <c r="D2" s="1037" t="str">
        <f>Head2</f>
        <v>Budget Year 2020/21</v>
      </c>
      <c r="E2" s="1038"/>
      <c r="F2" s="1038"/>
      <c r="G2" s="1038"/>
      <c r="H2" s="1038"/>
      <c r="I2" s="1038"/>
      <c r="J2" s="1038"/>
      <c r="K2" s="1039"/>
    </row>
    <row r="3" spans="1:11" ht="25.5" x14ac:dyDescent="0.25">
      <c r="A3" s="1043"/>
      <c r="B3" s="1052"/>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667</v>
      </c>
      <c r="B4" s="418"/>
      <c r="C4" s="187"/>
      <c r="D4" s="240"/>
      <c r="E4" s="241"/>
      <c r="F4" s="82"/>
      <c r="G4" s="82"/>
      <c r="H4" s="82"/>
      <c r="I4" s="82"/>
      <c r="J4" s="242" t="s">
        <v>575</v>
      </c>
      <c r="K4" s="223"/>
    </row>
    <row r="5" spans="1:11" ht="12.75" customHeight="1" x14ac:dyDescent="0.25">
      <c r="A5" s="182" t="s">
        <v>486</v>
      </c>
      <c r="B5" s="519"/>
      <c r="C5" s="170"/>
      <c r="D5" s="37"/>
      <c r="E5" s="36"/>
      <c r="F5" s="36"/>
      <c r="G5" s="36"/>
      <c r="H5" s="36"/>
      <c r="I5" s="36"/>
      <c r="J5" s="36"/>
      <c r="K5" s="226"/>
    </row>
    <row r="6" spans="1:11" ht="11.25" customHeight="1" x14ac:dyDescent="0.25">
      <c r="A6" s="39" t="s">
        <v>931</v>
      </c>
      <c r="B6" s="419"/>
      <c r="C6" s="748"/>
      <c r="D6" s="745">
        <v>1269794594.0217998</v>
      </c>
      <c r="E6" s="733">
        <v>1269794594.0217998</v>
      </c>
      <c r="F6" s="733">
        <v>102613743.55</v>
      </c>
      <c r="G6" s="733">
        <v>606771947.64999998</v>
      </c>
      <c r="H6" s="733">
        <f>E6/12*6</f>
        <v>634897297.0108999</v>
      </c>
      <c r="I6" s="44">
        <f t="shared" ref="I6:I22" si="0">G6-H6</f>
        <v>-28125349.360899925</v>
      </c>
      <c r="J6" s="330">
        <f t="shared" ref="J6:J22" si="1">IF(I6=0,"",I6/H6)</f>
        <v>-4.4299053552935619E-2</v>
      </c>
      <c r="K6" s="735">
        <f>E6</f>
        <v>1269794594.0217998</v>
      </c>
    </row>
    <row r="7" spans="1:11" ht="11.25" customHeight="1" x14ac:dyDescent="0.25">
      <c r="A7" s="39" t="s">
        <v>834</v>
      </c>
      <c r="B7" s="419"/>
      <c r="C7" s="748"/>
      <c r="D7" s="745">
        <v>2584775677.1378117</v>
      </c>
      <c r="E7" s="733">
        <v>2584775677.1378117</v>
      </c>
      <c r="F7" s="733">
        <v>181710629.84999999</v>
      </c>
      <c r="G7" s="733">
        <v>1188190847.03</v>
      </c>
      <c r="H7" s="733">
        <f>E7/12*6</f>
        <v>1292387838.5689058</v>
      </c>
      <c r="I7" s="44">
        <f t="shared" si="0"/>
        <v>-104196991.53890586</v>
      </c>
      <c r="J7" s="330">
        <f t="shared" si="1"/>
        <v>-8.0623624293993557E-2</v>
      </c>
      <c r="K7" s="735">
        <f>E7</f>
        <v>2584775677.1378117</v>
      </c>
    </row>
    <row r="8" spans="1:11" ht="11.25" customHeight="1" x14ac:dyDescent="0.25">
      <c r="A8" s="86" t="s">
        <v>835</v>
      </c>
      <c r="B8" s="421"/>
      <c r="C8" s="748"/>
      <c r="D8" s="745">
        <v>722633094.82360029</v>
      </c>
      <c r="E8" s="733">
        <v>722633094.82360029</v>
      </c>
      <c r="F8" s="733">
        <v>61449091.030000001</v>
      </c>
      <c r="G8" s="733">
        <v>391422057.13999999</v>
      </c>
      <c r="H8" s="733">
        <f>E8/12*6</f>
        <v>361316547.41180015</v>
      </c>
      <c r="I8" s="44">
        <f t="shared" si="0"/>
        <v>30105509.72819984</v>
      </c>
      <c r="J8" s="330">
        <f t="shared" si="1"/>
        <v>8.3321702102638409E-2</v>
      </c>
      <c r="K8" s="735">
        <f>E8</f>
        <v>722633094.82360029</v>
      </c>
    </row>
    <row r="9" spans="1:11" ht="11.25" customHeight="1" x14ac:dyDescent="0.25">
      <c r="A9" s="86" t="s">
        <v>836</v>
      </c>
      <c r="B9" s="421"/>
      <c r="C9" s="748"/>
      <c r="D9" s="745">
        <v>152021749.3608</v>
      </c>
      <c r="E9" s="733">
        <v>152021749.3608</v>
      </c>
      <c r="F9" s="733">
        <v>14673342.119999999</v>
      </c>
      <c r="G9" s="733">
        <v>80315172.310000002</v>
      </c>
      <c r="H9" s="733">
        <f>E9/12*6</f>
        <v>76010874.680399999</v>
      </c>
      <c r="I9" s="44">
        <f t="shared" si="0"/>
        <v>4304297.6296000034</v>
      </c>
      <c r="J9" s="330">
        <f t="shared" si="1"/>
        <v>5.6627392431650311E-2</v>
      </c>
      <c r="K9" s="735">
        <f>E9</f>
        <v>152021749.3608</v>
      </c>
    </row>
    <row r="10" spans="1:11" ht="11.25" customHeight="1" x14ac:dyDescent="0.25">
      <c r="A10" s="517" t="s">
        <v>72</v>
      </c>
      <c r="B10" s="421"/>
      <c r="C10" s="748"/>
      <c r="D10" s="745">
        <v>116333080.9707</v>
      </c>
      <c r="E10" s="733">
        <v>116333080.9707</v>
      </c>
      <c r="F10" s="733">
        <v>8816504.75</v>
      </c>
      <c r="G10" s="733">
        <v>53337484.670000002</v>
      </c>
      <c r="H10" s="733">
        <f>E10/12*6</f>
        <v>58166540.485349998</v>
      </c>
      <c r="I10" s="44">
        <f t="shared" si="0"/>
        <v>-4829055.8153499961</v>
      </c>
      <c r="J10" s="330">
        <f t="shared" si="1"/>
        <v>-8.3021196981213907E-2</v>
      </c>
      <c r="K10" s="735">
        <f>E10</f>
        <v>116333080.9707</v>
      </c>
    </row>
    <row r="11" spans="1:11" ht="0.95" customHeight="1" x14ac:dyDescent="0.25">
      <c r="A11" s="86"/>
      <c r="B11" s="421"/>
      <c r="C11" s="648"/>
      <c r="D11" s="649"/>
      <c r="E11" s="408"/>
      <c r="F11" s="408"/>
      <c r="G11" s="408"/>
      <c r="H11" s="408"/>
      <c r="I11" s="408"/>
      <c r="J11" s="947"/>
      <c r="K11" s="642"/>
    </row>
    <row r="12" spans="1:11" ht="11.25" customHeight="1" x14ac:dyDescent="0.25">
      <c r="A12" s="86" t="s">
        <v>963</v>
      </c>
      <c r="B12" s="421"/>
      <c r="C12" s="748"/>
      <c r="D12" s="745">
        <v>29078797.626999993</v>
      </c>
      <c r="E12" s="733">
        <v>29078797.626999993</v>
      </c>
      <c r="F12" s="733">
        <v>1828519</v>
      </c>
      <c r="G12" s="733">
        <v>3170465.67</v>
      </c>
      <c r="H12" s="733">
        <f>E12/12*6</f>
        <v>14539398.813499996</v>
      </c>
      <c r="I12" s="44">
        <f t="shared" si="0"/>
        <v>-11368933.143499997</v>
      </c>
      <c r="J12" s="330">
        <f t="shared" si="1"/>
        <v>-0.78193969979995415</v>
      </c>
      <c r="K12" s="735">
        <f>E12</f>
        <v>29078797.626999993</v>
      </c>
    </row>
    <row r="13" spans="1:11" ht="11.25" customHeight="1" x14ac:dyDescent="0.25">
      <c r="A13" s="86" t="s">
        <v>838</v>
      </c>
      <c r="B13" s="421"/>
      <c r="C13" s="748"/>
      <c r="D13" s="745">
        <v>15260422.42725</v>
      </c>
      <c r="E13" s="733">
        <v>15260422.42725</v>
      </c>
      <c r="F13" s="733">
        <v>347930.44999999995</v>
      </c>
      <c r="G13" s="733">
        <v>3441859.53</v>
      </c>
      <c r="H13" s="733">
        <f>E13/12*6</f>
        <v>7630211.2136250008</v>
      </c>
      <c r="I13" s="44">
        <f t="shared" si="0"/>
        <v>-4188351.683625001</v>
      </c>
      <c r="J13" s="330">
        <f t="shared" si="1"/>
        <v>-0.5489168735127552</v>
      </c>
      <c r="K13" s="735">
        <f>E13</f>
        <v>15260422.42725</v>
      </c>
    </row>
    <row r="14" spans="1:11" ht="11.25" customHeight="1" x14ac:dyDescent="0.25">
      <c r="A14" s="86" t="s">
        <v>839</v>
      </c>
      <c r="B14" s="421"/>
      <c r="C14" s="748"/>
      <c r="D14" s="745">
        <v>202457793.88559997</v>
      </c>
      <c r="E14" s="733">
        <v>202457793.88559997</v>
      </c>
      <c r="F14" s="733">
        <v>16616678.369999999</v>
      </c>
      <c r="G14" s="733">
        <v>90658127.069999993</v>
      </c>
      <c r="H14" s="733">
        <f>E14/12*6</f>
        <v>101228896.94279999</v>
      </c>
      <c r="I14" s="44">
        <f t="shared" si="0"/>
        <v>-10570769.872799993</v>
      </c>
      <c r="J14" s="330">
        <f t="shared" si="1"/>
        <v>-0.10442443009897728</v>
      </c>
      <c r="K14" s="735">
        <f>E14</f>
        <v>202457793.88559997</v>
      </c>
    </row>
    <row r="15" spans="1:11" ht="11.25" customHeight="1" x14ac:dyDescent="0.25">
      <c r="A15" s="86" t="s">
        <v>921</v>
      </c>
      <c r="B15" s="421"/>
      <c r="C15" s="748"/>
      <c r="D15" s="745"/>
      <c r="E15" s="733"/>
      <c r="F15" s="733"/>
      <c r="G15" s="733"/>
      <c r="H15" s="733"/>
      <c r="I15" s="44">
        <f t="shared" si="0"/>
        <v>0</v>
      </c>
      <c r="J15" s="330" t="str">
        <f t="shared" si="1"/>
        <v/>
      </c>
      <c r="K15" s="735"/>
    </row>
    <row r="16" spans="1:11" ht="11.25" customHeight="1" x14ac:dyDescent="0.25">
      <c r="A16" s="86" t="s">
        <v>1117</v>
      </c>
      <c r="B16" s="421"/>
      <c r="C16" s="748"/>
      <c r="D16" s="745">
        <v>1798551.4436999999</v>
      </c>
      <c r="E16" s="733">
        <v>1798551.4436999999</v>
      </c>
      <c r="F16" s="733">
        <v>38500</v>
      </c>
      <c r="G16" s="733">
        <v>244021.3</v>
      </c>
      <c r="H16" s="733">
        <f>E16/12*6</f>
        <v>899275.72184999997</v>
      </c>
      <c r="I16" s="44">
        <f t="shared" si="0"/>
        <v>-655254.42185000004</v>
      </c>
      <c r="J16" s="330">
        <f t="shared" si="1"/>
        <v>-0.72864684982488281</v>
      </c>
      <c r="K16" s="735">
        <f>E16</f>
        <v>1798551.4436999999</v>
      </c>
    </row>
    <row r="17" spans="1:11" ht="11.25" customHeight="1" x14ac:dyDescent="0.25">
      <c r="A17" s="86" t="s">
        <v>840</v>
      </c>
      <c r="B17" s="421"/>
      <c r="C17" s="748"/>
      <c r="D17" s="745">
        <v>1119569.0055</v>
      </c>
      <c r="E17" s="733">
        <v>1119569.0055</v>
      </c>
      <c r="F17" s="733">
        <v>15272.53</v>
      </c>
      <c r="G17" s="733">
        <v>269905.51</v>
      </c>
      <c r="H17" s="733">
        <f>E17/12*6</f>
        <v>559784.50274999999</v>
      </c>
      <c r="I17" s="44">
        <f t="shared" si="0"/>
        <v>-289878.99274999998</v>
      </c>
      <c r="J17" s="330">
        <f t="shared" si="1"/>
        <v>-0.51784033199550727</v>
      </c>
      <c r="K17" s="735">
        <f>E17</f>
        <v>1119569.0055</v>
      </c>
    </row>
    <row r="18" spans="1:11" ht="11.25" customHeight="1" x14ac:dyDescent="0.25">
      <c r="A18" s="86" t="s">
        <v>580</v>
      </c>
      <c r="B18" s="421"/>
      <c r="C18" s="748"/>
      <c r="D18" s="745">
        <v>601902.02599999995</v>
      </c>
      <c r="E18" s="733">
        <v>601902.02599999995</v>
      </c>
      <c r="F18" s="733">
        <v>11180</v>
      </c>
      <c r="G18" s="733">
        <v>340360</v>
      </c>
      <c r="H18" s="733">
        <f>E18/12*6</f>
        <v>300951.01299999998</v>
      </c>
      <c r="I18" s="44">
        <f t="shared" si="0"/>
        <v>39408.987000000023</v>
      </c>
      <c r="J18" s="330">
        <f t="shared" si="1"/>
        <v>0.13094817859941885</v>
      </c>
      <c r="K18" s="735">
        <f>E18</f>
        <v>601902.02599999995</v>
      </c>
    </row>
    <row r="19" spans="1:11" ht="11.25" customHeight="1" x14ac:dyDescent="0.25">
      <c r="A19" s="518" t="s">
        <v>1118</v>
      </c>
      <c r="B19" s="421"/>
      <c r="C19" s="748"/>
      <c r="D19" s="745">
        <v>675483240</v>
      </c>
      <c r="E19" s="733">
        <v>764481240</v>
      </c>
      <c r="F19" s="733">
        <v>273809093.82999998</v>
      </c>
      <c r="G19" s="733">
        <v>567424769.73000002</v>
      </c>
      <c r="H19" s="733">
        <f>E19/12*6</f>
        <v>382240620</v>
      </c>
      <c r="I19" s="44">
        <f t="shared" si="0"/>
        <v>185184149.73000002</v>
      </c>
      <c r="J19" s="330">
        <f t="shared" si="1"/>
        <v>0.48447009564289639</v>
      </c>
      <c r="K19" s="735">
        <f>E19</f>
        <v>764481240</v>
      </c>
    </row>
    <row r="20" spans="1:11" ht="11.25" customHeight="1" x14ac:dyDescent="0.25">
      <c r="A20" s="86" t="s">
        <v>453</v>
      </c>
      <c r="B20" s="421"/>
      <c r="C20" s="748"/>
      <c r="D20" s="745">
        <v>146451785.14229998</v>
      </c>
      <c r="E20" s="733">
        <v>146451785.14229998</v>
      </c>
      <c r="F20" s="733">
        <v>6237407.0700000003</v>
      </c>
      <c r="G20" s="733">
        <v>70220126.549999997</v>
      </c>
      <c r="H20" s="733">
        <f>E20/12*6</f>
        <v>73225892.57114999</v>
      </c>
      <c r="I20" s="44">
        <f t="shared" si="0"/>
        <v>-3005766.0211499929</v>
      </c>
      <c r="J20" s="330">
        <f t="shared" si="1"/>
        <v>-4.1047857740066987E-2</v>
      </c>
      <c r="K20" s="735">
        <f>E20</f>
        <v>146451785.14229998</v>
      </c>
    </row>
    <row r="21" spans="1:11" ht="11.25" customHeight="1" x14ac:dyDescent="0.25">
      <c r="A21" s="990" t="s">
        <v>1369</v>
      </c>
      <c r="B21" s="419"/>
      <c r="C21" s="748"/>
      <c r="D21" s="745"/>
      <c r="E21" s="733"/>
      <c r="F21" s="733"/>
      <c r="G21" s="733"/>
      <c r="H21" s="733"/>
      <c r="I21" s="44">
        <f t="shared" si="0"/>
        <v>0</v>
      </c>
      <c r="J21" s="330" t="str">
        <f t="shared" si="1"/>
        <v/>
      </c>
      <c r="K21" s="735"/>
    </row>
    <row r="22" spans="1:11" ht="24.75" customHeight="1" x14ac:dyDescent="0.25">
      <c r="A22" s="586" t="s">
        <v>134</v>
      </c>
      <c r="B22" s="587"/>
      <c r="C22" s="522">
        <f t="shared" ref="C22:H22" si="2">SUM(C6:C10)+SUM(C12:C21)</f>
        <v>0</v>
      </c>
      <c r="D22" s="523">
        <f t="shared" si="2"/>
        <v>5917810257.8720617</v>
      </c>
      <c r="E22" s="524">
        <f t="shared" si="2"/>
        <v>6006808257.8720617</v>
      </c>
      <c r="F22" s="524">
        <f t="shared" si="2"/>
        <v>668167892.54999995</v>
      </c>
      <c r="G22" s="524">
        <f t="shared" si="2"/>
        <v>3055807144.1599998</v>
      </c>
      <c r="H22" s="524">
        <f t="shared" si="2"/>
        <v>3003404128.9360309</v>
      </c>
      <c r="I22" s="524">
        <f t="shared" si="0"/>
        <v>52403015.223968983</v>
      </c>
      <c r="J22" s="525">
        <f t="shared" si="1"/>
        <v>1.744787347100471E-2</v>
      </c>
      <c r="K22" s="526">
        <f>SUM(K6:K10)+SUM(K12:K21)</f>
        <v>6006808257.8720617</v>
      </c>
    </row>
    <row r="23" spans="1:11" ht="5.0999999999999996" customHeight="1" x14ac:dyDescent="0.25">
      <c r="A23" s="42"/>
      <c r="B23" s="419"/>
      <c r="C23" s="134"/>
      <c r="D23" s="46"/>
      <c r="E23" s="44"/>
      <c r="F23" s="44"/>
      <c r="G23" s="44"/>
      <c r="H23" s="44"/>
      <c r="I23" s="44"/>
      <c r="J23" s="44"/>
      <c r="K23" s="144"/>
    </row>
    <row r="24" spans="1:11" ht="12.75" customHeight="1" x14ac:dyDescent="0.25">
      <c r="A24" s="35" t="s">
        <v>487</v>
      </c>
      <c r="B24" s="420"/>
      <c r="C24" s="134"/>
      <c r="D24" s="46"/>
      <c r="E24" s="44"/>
      <c r="F24" s="44"/>
      <c r="G24" s="44"/>
      <c r="H24" s="44"/>
      <c r="I24" s="44"/>
      <c r="J24" s="44"/>
      <c r="K24" s="144"/>
    </row>
    <row r="25" spans="1:11" ht="12.75" customHeight="1" x14ac:dyDescent="0.25">
      <c r="A25" s="39" t="s">
        <v>841</v>
      </c>
      <c r="B25" s="421"/>
      <c r="C25" s="748"/>
      <c r="D25" s="745">
        <v>1478324301.5741799</v>
      </c>
      <c r="E25" s="733">
        <v>1478324304.2495084</v>
      </c>
      <c r="F25" s="733">
        <v>105216598.87000008</v>
      </c>
      <c r="G25" s="733">
        <v>706305561.33999932</v>
      </c>
      <c r="H25" s="733">
        <f t="shared" ref="H25:H34" si="3">E25/12*6</f>
        <v>739162152.12475419</v>
      </c>
      <c r="I25" s="44">
        <f t="shared" ref="I25:I36" si="4">G25-H25</f>
        <v>-32856590.784754872</v>
      </c>
      <c r="J25" s="330">
        <f t="shared" ref="J25:J41" si="5">IF(I25=0,"",I25/H25)</f>
        <v>-4.4451127117787557E-2</v>
      </c>
      <c r="K25" s="735">
        <f t="shared" ref="K25:K34" si="6">E25</f>
        <v>1478324304.2495084</v>
      </c>
    </row>
    <row r="26" spans="1:11" ht="12.75" customHeight="1" x14ac:dyDescent="0.25">
      <c r="A26" s="39" t="s">
        <v>477</v>
      </c>
      <c r="B26" s="419"/>
      <c r="C26" s="748"/>
      <c r="D26" s="745">
        <v>53650401.115479976</v>
      </c>
      <c r="E26" s="733">
        <v>53650401.439999998</v>
      </c>
      <c r="F26" s="733">
        <v>4028354.9000000004</v>
      </c>
      <c r="G26" s="733">
        <v>25654486.129999995</v>
      </c>
      <c r="H26" s="733">
        <f t="shared" si="3"/>
        <v>26825200.719999999</v>
      </c>
      <c r="I26" s="44">
        <f t="shared" si="4"/>
        <v>-1170714.5900000036</v>
      </c>
      <c r="J26" s="330">
        <f t="shared" si="5"/>
        <v>-4.364234222214624E-2</v>
      </c>
      <c r="K26" s="735">
        <f t="shared" si="6"/>
        <v>53650401.439999998</v>
      </c>
    </row>
    <row r="27" spans="1:11" ht="12.75" customHeight="1" x14ac:dyDescent="0.25">
      <c r="A27" s="86" t="s">
        <v>611</v>
      </c>
      <c r="B27" s="421"/>
      <c r="C27" s="748"/>
      <c r="D27" s="745">
        <v>123904143.27200001</v>
      </c>
      <c r="E27" s="733">
        <v>123904143.27200001</v>
      </c>
      <c r="F27" s="733">
        <v>-102612.92</v>
      </c>
      <c r="G27" s="733">
        <v>4923398.6400000006</v>
      </c>
      <c r="H27" s="733">
        <f t="shared" si="3"/>
        <v>61952071.636000007</v>
      </c>
      <c r="I27" s="44">
        <f t="shared" si="4"/>
        <v>-57028672.996000007</v>
      </c>
      <c r="J27" s="330">
        <f t="shared" si="5"/>
        <v>-0.92052891033366124</v>
      </c>
      <c r="K27" s="735">
        <f t="shared" si="6"/>
        <v>123904143.27200001</v>
      </c>
    </row>
    <row r="28" spans="1:11" ht="12.75" customHeight="1" x14ac:dyDescent="0.25">
      <c r="A28" s="86" t="s">
        <v>664</v>
      </c>
      <c r="B28" s="421"/>
      <c r="C28" s="748"/>
      <c r="D28" s="745">
        <v>489941448.27473986</v>
      </c>
      <c r="E28" s="733">
        <v>482441448.55050021</v>
      </c>
      <c r="F28" s="733">
        <v>35914041.079999998</v>
      </c>
      <c r="G28" s="733">
        <v>212773563.68000016</v>
      </c>
      <c r="H28" s="733">
        <f t="shared" si="3"/>
        <v>241220724.27525014</v>
      </c>
      <c r="I28" s="44">
        <f t="shared" si="4"/>
        <v>-28447160.595249981</v>
      </c>
      <c r="J28" s="330">
        <f t="shared" si="5"/>
        <v>-0.11793000241052976</v>
      </c>
      <c r="K28" s="735">
        <f t="shared" si="6"/>
        <v>482441448.55050021</v>
      </c>
    </row>
    <row r="29" spans="1:11" ht="12.75" customHeight="1" x14ac:dyDescent="0.25">
      <c r="A29" s="86" t="s">
        <v>452</v>
      </c>
      <c r="B29" s="421"/>
      <c r="C29" s="748"/>
      <c r="D29" s="745">
        <v>31793212.220000003</v>
      </c>
      <c r="E29" s="733">
        <v>36505334.219999969</v>
      </c>
      <c r="F29" s="733">
        <v>3064353.5900000003</v>
      </c>
      <c r="G29" s="733">
        <v>19503251.430000003</v>
      </c>
      <c r="H29" s="733">
        <f t="shared" si="3"/>
        <v>18252667.109999985</v>
      </c>
      <c r="I29" s="44">
        <f t="shared" si="4"/>
        <v>1250584.3200000189</v>
      </c>
      <c r="J29" s="330">
        <f t="shared" si="5"/>
        <v>6.851515520791307E-2</v>
      </c>
      <c r="K29" s="735">
        <f t="shared" si="6"/>
        <v>36505334.219999969</v>
      </c>
    </row>
    <row r="30" spans="1:11" ht="12.75" customHeight="1" x14ac:dyDescent="0.25">
      <c r="A30" s="86" t="s">
        <v>844</v>
      </c>
      <c r="B30" s="421"/>
      <c r="C30" s="748"/>
      <c r="D30" s="745">
        <v>2608224084.5041752</v>
      </c>
      <c r="E30" s="733">
        <v>2608224084.5041752</v>
      </c>
      <c r="F30" s="733">
        <v>192927320.59999999</v>
      </c>
      <c r="G30" s="733">
        <v>1399026865.78</v>
      </c>
      <c r="H30" s="733">
        <f t="shared" si="3"/>
        <v>1304112042.2520876</v>
      </c>
      <c r="I30" s="44">
        <f t="shared" si="4"/>
        <v>94914823.527912378</v>
      </c>
      <c r="J30" s="330">
        <f t="shared" si="5"/>
        <v>7.278118785254277E-2</v>
      </c>
      <c r="K30" s="735">
        <f t="shared" si="6"/>
        <v>2608224084.5041752</v>
      </c>
    </row>
    <row r="31" spans="1:11" ht="12.75" customHeight="1" x14ac:dyDescent="0.25">
      <c r="A31" s="86" t="s">
        <v>920</v>
      </c>
      <c r="B31" s="421"/>
      <c r="C31" s="748"/>
      <c r="D31" s="745">
        <v>46613414.686963424</v>
      </c>
      <c r="E31" s="733">
        <v>63710306.143800952</v>
      </c>
      <c r="F31" s="733">
        <v>8685618.2200000007</v>
      </c>
      <c r="G31" s="733">
        <v>17529722.189999998</v>
      </c>
      <c r="H31" s="733">
        <f t="shared" si="3"/>
        <v>31855153.071900476</v>
      </c>
      <c r="I31" s="44">
        <f t="shared" si="4"/>
        <v>-14325430.881900478</v>
      </c>
      <c r="J31" s="330">
        <f t="shared" si="5"/>
        <v>-0.44970529099535178</v>
      </c>
      <c r="K31" s="735">
        <f t="shared" si="6"/>
        <v>63710306.143800952</v>
      </c>
    </row>
    <row r="32" spans="1:11" ht="12.75" customHeight="1" x14ac:dyDescent="0.25">
      <c r="A32" s="86" t="s">
        <v>845</v>
      </c>
      <c r="B32" s="421"/>
      <c r="C32" s="748"/>
      <c r="D32" s="745">
        <v>464722594.2633999</v>
      </c>
      <c r="E32" s="733">
        <v>491460211.0508498</v>
      </c>
      <c r="F32" s="733">
        <v>45945039.680000015</v>
      </c>
      <c r="G32" s="733">
        <v>234038574.36000001</v>
      </c>
      <c r="H32" s="733">
        <f t="shared" si="3"/>
        <v>245730105.5254249</v>
      </c>
      <c r="I32" s="44">
        <f t="shared" si="4"/>
        <v>-11691531.165424883</v>
      </c>
      <c r="J32" s="330">
        <f t="shared" si="5"/>
        <v>-4.7578749622175204E-2</v>
      </c>
      <c r="K32" s="735">
        <f t="shared" si="6"/>
        <v>491460211.0508498</v>
      </c>
    </row>
    <row r="33" spans="1:12" ht="12.75" customHeight="1" x14ac:dyDescent="0.25">
      <c r="A33" s="517" t="s">
        <v>1118</v>
      </c>
      <c r="B33" s="421"/>
      <c r="C33" s="748"/>
      <c r="D33" s="745">
        <v>25080461.44304001</v>
      </c>
      <c r="E33" s="733">
        <v>58680462</v>
      </c>
      <c r="F33" s="733">
        <v>2551054.63</v>
      </c>
      <c r="G33" s="733">
        <v>23289311.890000001</v>
      </c>
      <c r="H33" s="733">
        <f t="shared" si="3"/>
        <v>29340231</v>
      </c>
      <c r="I33" s="44">
        <f t="shared" si="4"/>
        <v>-6050919.1099999994</v>
      </c>
      <c r="J33" s="330">
        <f t="shared" si="5"/>
        <v>-0.20623283811228341</v>
      </c>
      <c r="K33" s="735">
        <f t="shared" si="6"/>
        <v>58680462</v>
      </c>
    </row>
    <row r="34" spans="1:12" ht="12.75" customHeight="1" x14ac:dyDescent="0.25">
      <c r="A34" s="86" t="s">
        <v>434</v>
      </c>
      <c r="B34" s="421"/>
      <c r="C34" s="748"/>
      <c r="D34" s="745">
        <v>194223408.19064996</v>
      </c>
      <c r="E34" s="733">
        <v>166189163.49623623</v>
      </c>
      <c r="F34" s="733">
        <v>14227085.630000008</v>
      </c>
      <c r="G34" s="733">
        <v>81259834.500000119</v>
      </c>
      <c r="H34" s="733">
        <f t="shared" si="3"/>
        <v>83094581.748118117</v>
      </c>
      <c r="I34" s="44">
        <f t="shared" si="4"/>
        <v>-1834747.2481179982</v>
      </c>
      <c r="J34" s="330">
        <f t="shared" si="5"/>
        <v>-2.2080227248505894E-2</v>
      </c>
      <c r="K34" s="735">
        <f t="shared" si="6"/>
        <v>166189163.49623623</v>
      </c>
    </row>
    <row r="35" spans="1:12" ht="12.75" customHeight="1" x14ac:dyDescent="0.25">
      <c r="A35" s="990" t="s">
        <v>1370</v>
      </c>
      <c r="B35" s="419"/>
      <c r="C35" s="748"/>
      <c r="D35" s="745"/>
      <c r="E35" s="733">
        <v>0</v>
      </c>
      <c r="F35" s="733"/>
      <c r="G35" s="733"/>
      <c r="H35" s="733"/>
      <c r="I35" s="44">
        <f t="shared" si="4"/>
        <v>0</v>
      </c>
      <c r="J35" s="330" t="str">
        <f t="shared" si="5"/>
        <v/>
      </c>
      <c r="K35" s="735"/>
    </row>
    <row r="36" spans="1:12" ht="12.75" customHeight="1" x14ac:dyDescent="0.25">
      <c r="A36" s="92" t="s">
        <v>488</v>
      </c>
      <c r="B36" s="422"/>
      <c r="C36" s="243">
        <f t="shared" ref="C36:K36" si="7">SUM(C25:C35)</f>
        <v>0</v>
      </c>
      <c r="D36" s="74">
        <f>SUM(D25:D35)</f>
        <v>5516477469.5446281</v>
      </c>
      <c r="E36" s="73">
        <f>SUM(E25:E35)</f>
        <v>5563089858.9270697</v>
      </c>
      <c r="F36" s="73">
        <f t="shared" si="7"/>
        <v>412456854.28000009</v>
      </c>
      <c r="G36" s="73">
        <f t="shared" si="7"/>
        <v>2724304569.9399996</v>
      </c>
      <c r="H36" s="73">
        <f t="shared" si="7"/>
        <v>2781544929.4635348</v>
      </c>
      <c r="I36" s="73">
        <f t="shared" si="4"/>
        <v>-57240359.523535252</v>
      </c>
      <c r="J36" s="331">
        <f t="shared" si="5"/>
        <v>-2.0578621224923002E-2</v>
      </c>
      <c r="K36" s="145">
        <f t="shared" si="7"/>
        <v>5563089858.9270697</v>
      </c>
    </row>
    <row r="37" spans="1:12" ht="5.0999999999999996" customHeight="1" x14ac:dyDescent="0.25">
      <c r="A37" s="42"/>
      <c r="B37" s="419"/>
      <c r="C37" s="134"/>
      <c r="D37" s="46"/>
      <c r="E37" s="44"/>
      <c r="F37" s="44"/>
      <c r="G37" s="44"/>
      <c r="H37" s="44"/>
      <c r="I37" s="47"/>
      <c r="J37" s="47"/>
      <c r="K37" s="144"/>
    </row>
    <row r="38" spans="1:12" ht="12.75" customHeight="1" x14ac:dyDescent="0.25">
      <c r="A38" s="87" t="s">
        <v>489</v>
      </c>
      <c r="B38" s="419"/>
      <c r="C38" s="109">
        <f t="shared" ref="C38:H38" si="8">C22-C36</f>
        <v>0</v>
      </c>
      <c r="D38" s="51">
        <f t="shared" si="8"/>
        <v>401332788.32743359</v>
      </c>
      <c r="E38" s="50">
        <f t="shared" si="8"/>
        <v>443718398.94499207</v>
      </c>
      <c r="F38" s="50">
        <f t="shared" si="8"/>
        <v>255711038.26999986</v>
      </c>
      <c r="G38" s="50">
        <f t="shared" si="8"/>
        <v>331502574.22000027</v>
      </c>
      <c r="H38" s="50">
        <f t="shared" si="8"/>
        <v>221859199.47249603</v>
      </c>
      <c r="I38" s="102">
        <f>I22-I36</f>
        <v>109643374.74750423</v>
      </c>
      <c r="J38" s="102">
        <f t="shared" si="5"/>
        <v>0.49420251676828375</v>
      </c>
      <c r="K38" s="194">
        <f>K22-K36</f>
        <v>443718398.94499207</v>
      </c>
    </row>
    <row r="39" spans="1:12" ht="19.899999999999999" customHeight="1" x14ac:dyDescent="0.25">
      <c r="A39" s="937" t="s">
        <v>1119</v>
      </c>
      <c r="B39" s="419"/>
      <c r="C39" s="748"/>
      <c r="D39" s="745">
        <v>525891580.99999982</v>
      </c>
      <c r="E39" s="733">
        <v>525891580.99999982</v>
      </c>
      <c r="F39" s="733">
        <v>65330859.039999999</v>
      </c>
      <c r="G39" s="733">
        <v>252083543.83000001</v>
      </c>
      <c r="H39" s="733">
        <f>E39/12*6</f>
        <v>262945790.49999988</v>
      </c>
      <c r="I39" s="47">
        <f>G39-H39</f>
        <v>-10862246.669999868</v>
      </c>
      <c r="J39" s="102">
        <f t="shared" si="5"/>
        <v>-4.1309832910216802E-2</v>
      </c>
      <c r="K39" s="735">
        <f>E39</f>
        <v>525891580.99999982</v>
      </c>
    </row>
    <row r="40" spans="1:12" ht="39.6" customHeight="1" x14ac:dyDescent="0.25">
      <c r="A40" s="937" t="s">
        <v>1120</v>
      </c>
      <c r="B40" s="419"/>
      <c r="C40" s="748"/>
      <c r="D40" s="745"/>
      <c r="E40" s="733"/>
      <c r="F40" s="733"/>
      <c r="G40" s="733"/>
      <c r="H40" s="733"/>
      <c r="I40" s="47">
        <f>G40-H40</f>
        <v>0</v>
      </c>
      <c r="J40" s="102" t="str">
        <f t="shared" si="5"/>
        <v/>
      </c>
      <c r="K40" s="735"/>
    </row>
    <row r="41" spans="1:12" ht="12.75" customHeight="1" x14ac:dyDescent="0.25">
      <c r="A41" s="518" t="s">
        <v>1121</v>
      </c>
      <c r="B41" s="419"/>
      <c r="C41" s="749"/>
      <c r="D41" s="750"/>
      <c r="E41" s="751"/>
      <c r="F41" s="751"/>
      <c r="G41" s="751"/>
      <c r="H41" s="751"/>
      <c r="I41" s="47">
        <f>G41-H41</f>
        <v>0</v>
      </c>
      <c r="J41" s="102" t="str">
        <f t="shared" si="5"/>
        <v/>
      </c>
      <c r="K41" s="752"/>
    </row>
    <row r="42" spans="1:12" ht="25.5" x14ac:dyDescent="0.25">
      <c r="A42" s="250" t="s">
        <v>752</v>
      </c>
      <c r="B42" s="521"/>
      <c r="C42" s="252">
        <f t="shared" ref="C42:H42" si="9">C38+SUM(C39:C41)</f>
        <v>0</v>
      </c>
      <c r="D42" s="253">
        <f t="shared" si="9"/>
        <v>927224369.32743335</v>
      </c>
      <c r="E42" s="254">
        <f t="shared" si="9"/>
        <v>969609979.94499183</v>
      </c>
      <c r="F42" s="254">
        <f t="shared" si="9"/>
        <v>321041897.30999988</v>
      </c>
      <c r="G42" s="254">
        <f t="shared" si="9"/>
        <v>583586118.05000031</v>
      </c>
      <c r="H42" s="254">
        <f t="shared" si="9"/>
        <v>484804989.97249591</v>
      </c>
      <c r="I42" s="329"/>
      <c r="J42" s="329"/>
      <c r="K42" s="255">
        <f>K38+SUM(K39:K41)</f>
        <v>969609979.94499183</v>
      </c>
    </row>
    <row r="43" spans="1:12" ht="12.75" customHeight="1" x14ac:dyDescent="0.25">
      <c r="A43" s="39" t="s">
        <v>466</v>
      </c>
      <c r="B43" s="419"/>
      <c r="C43" s="749"/>
      <c r="D43" s="750"/>
      <c r="E43" s="751"/>
      <c r="F43" s="751"/>
      <c r="G43" s="751"/>
      <c r="H43" s="751"/>
      <c r="I43" s="99">
        <f>G43-H43</f>
        <v>0</v>
      </c>
      <c r="J43" s="99" t="str">
        <f>IF(I43=0,"",I43/H43)</f>
        <v/>
      </c>
      <c r="K43" s="752"/>
    </row>
    <row r="44" spans="1:12" ht="12.75" customHeight="1" x14ac:dyDescent="0.25">
      <c r="A44" s="87" t="s">
        <v>467</v>
      </c>
      <c r="B44" s="419"/>
      <c r="C44" s="109">
        <f t="shared" ref="C44:H44" si="10">C42-C43</f>
        <v>0</v>
      </c>
      <c r="D44" s="51">
        <f t="shared" si="10"/>
        <v>927224369.32743335</v>
      </c>
      <c r="E44" s="50">
        <f t="shared" si="10"/>
        <v>969609979.94499183</v>
      </c>
      <c r="F44" s="50">
        <f t="shared" si="10"/>
        <v>321041897.30999988</v>
      </c>
      <c r="G44" s="50">
        <f t="shared" si="10"/>
        <v>583586118.05000031</v>
      </c>
      <c r="H44" s="50">
        <f t="shared" si="10"/>
        <v>484804989.97249591</v>
      </c>
      <c r="I44" s="327"/>
      <c r="J44" s="327"/>
      <c r="K44" s="194">
        <f>K42-K43</f>
        <v>969609979.94499183</v>
      </c>
    </row>
    <row r="45" spans="1:12" ht="12.75" customHeight="1" x14ac:dyDescent="0.25">
      <c r="A45" s="39" t="s">
        <v>468</v>
      </c>
      <c r="B45" s="419"/>
      <c r="C45" s="748"/>
      <c r="D45" s="745"/>
      <c r="E45" s="733"/>
      <c r="F45" s="733"/>
      <c r="G45" s="733"/>
      <c r="H45" s="733"/>
      <c r="I45" s="273"/>
      <c r="J45" s="273"/>
      <c r="K45" s="735"/>
    </row>
    <row r="46" spans="1:12" ht="12.75" customHeight="1" x14ac:dyDescent="0.25">
      <c r="A46" s="527" t="s">
        <v>141</v>
      </c>
      <c r="B46" s="426"/>
      <c r="C46" s="529">
        <f t="shared" ref="C46:H46" si="11">SUM(C44:C45)</f>
        <v>0</v>
      </c>
      <c r="D46" s="530">
        <f t="shared" si="11"/>
        <v>927224369.32743335</v>
      </c>
      <c r="E46" s="528">
        <f t="shared" si="11"/>
        <v>969609979.94499183</v>
      </c>
      <c r="F46" s="528">
        <f t="shared" si="11"/>
        <v>321041897.30999988</v>
      </c>
      <c r="G46" s="528">
        <f t="shared" si="11"/>
        <v>583586118.05000031</v>
      </c>
      <c r="H46" s="528">
        <f t="shared" si="11"/>
        <v>484804989.97249591</v>
      </c>
      <c r="I46" s="273"/>
      <c r="J46" s="273"/>
      <c r="K46" s="529">
        <f>SUM(K44:K45)</f>
        <v>969609979.94499183</v>
      </c>
      <c r="L46" s="100"/>
    </row>
    <row r="47" spans="1:12" ht="12.75" customHeight="1" x14ac:dyDescent="0.25">
      <c r="A47" s="256" t="s">
        <v>478</v>
      </c>
      <c r="B47" s="520"/>
      <c r="C47" s="749"/>
      <c r="D47" s="750"/>
      <c r="E47" s="751"/>
      <c r="F47" s="751"/>
      <c r="G47" s="751"/>
      <c r="H47" s="751"/>
      <c r="I47" s="328"/>
      <c r="J47" s="328"/>
      <c r="K47" s="752"/>
    </row>
    <row r="48" spans="1:12" ht="12.75" customHeight="1" x14ac:dyDescent="0.25">
      <c r="A48" s="94" t="s">
        <v>893</v>
      </c>
      <c r="B48" s="418"/>
      <c r="C48" s="244">
        <f t="shared" ref="C48:H48" si="12">C46+C47</f>
        <v>0</v>
      </c>
      <c r="D48" s="77">
        <f t="shared" si="12"/>
        <v>927224369.32743335</v>
      </c>
      <c r="E48" s="76">
        <f t="shared" si="12"/>
        <v>969609979.94499183</v>
      </c>
      <c r="F48" s="76">
        <f t="shared" si="12"/>
        <v>321041897.30999988</v>
      </c>
      <c r="G48" s="76">
        <f t="shared" si="12"/>
        <v>583586118.05000031</v>
      </c>
      <c r="H48" s="76">
        <f t="shared" si="12"/>
        <v>484804989.97249591</v>
      </c>
      <c r="I48" s="334"/>
      <c r="J48" s="334"/>
      <c r="K48" s="234">
        <f>K46+K47</f>
        <v>969609979.94499183</v>
      </c>
    </row>
    <row r="49" spans="1:256" ht="12.75" customHeight="1" x14ac:dyDescent="0.25">
      <c r="A49" s="78" t="str">
        <f>head27a</f>
        <v>References</v>
      </c>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c r="FC49" s="78"/>
      <c r="FD49" s="78"/>
      <c r="FE49" s="78"/>
      <c r="FF49" s="78"/>
      <c r="FG49" s="78"/>
      <c r="FH49" s="78"/>
      <c r="FI49" s="78"/>
      <c r="FJ49" s="78"/>
      <c r="FK49" s="78"/>
      <c r="FL49" s="78"/>
      <c r="FM49" s="78"/>
      <c r="FN49" s="78"/>
      <c r="FO49" s="78"/>
      <c r="FP49" s="78"/>
      <c r="FQ49" s="78"/>
      <c r="FR49" s="78"/>
      <c r="FS49" s="78"/>
      <c r="FT49" s="78"/>
      <c r="FU49" s="78"/>
      <c r="FV49" s="78"/>
      <c r="FW49" s="78"/>
      <c r="FX49" s="78"/>
      <c r="FY49" s="78"/>
      <c r="FZ49" s="78"/>
      <c r="GA49" s="78"/>
      <c r="GB49" s="78"/>
      <c r="GC49" s="78"/>
      <c r="GD49" s="78"/>
      <c r="GE49" s="78"/>
      <c r="GF49" s="78"/>
      <c r="GG49" s="78"/>
      <c r="GH49" s="78"/>
      <c r="GI49" s="78"/>
      <c r="GJ49" s="78"/>
      <c r="GK49" s="78"/>
      <c r="GL49" s="78"/>
      <c r="GM49" s="78"/>
      <c r="GN49" s="78"/>
      <c r="GO49" s="78"/>
      <c r="GP49" s="78"/>
      <c r="GQ49" s="78"/>
      <c r="GR49" s="78"/>
      <c r="GS49" s="78"/>
      <c r="GT49" s="78"/>
      <c r="GU49" s="78"/>
      <c r="GV49" s="78"/>
      <c r="GW49" s="78"/>
      <c r="GX49" s="78"/>
      <c r="GY49" s="78"/>
      <c r="GZ49" s="78"/>
      <c r="HA49" s="78"/>
      <c r="HB49" s="78"/>
      <c r="HC49" s="78"/>
      <c r="HD49" s="78"/>
      <c r="HE49" s="78"/>
      <c r="HF49" s="78"/>
      <c r="HG49" s="78"/>
      <c r="HH49" s="78"/>
      <c r="HI49" s="78"/>
      <c r="HJ49" s="78"/>
      <c r="HK49" s="78"/>
      <c r="HL49" s="78"/>
      <c r="HM49" s="78"/>
      <c r="HN49" s="78"/>
      <c r="HO49" s="78"/>
      <c r="HP49" s="78"/>
      <c r="HQ49" s="78"/>
      <c r="HR49" s="78"/>
      <c r="HS49" s="78"/>
      <c r="HT49" s="78"/>
      <c r="HU49" s="78"/>
      <c r="HV49" s="78"/>
      <c r="HW49" s="78"/>
      <c r="HX49" s="78"/>
      <c r="HY49" s="78"/>
      <c r="HZ49" s="78"/>
      <c r="IA49" s="78"/>
      <c r="IB49" s="78"/>
      <c r="IC49" s="78"/>
      <c r="ID49" s="78"/>
      <c r="IE49" s="78"/>
      <c r="IF49" s="78"/>
      <c r="IG49" s="78"/>
      <c r="IH49" s="78"/>
      <c r="II49" s="78"/>
      <c r="IJ49" s="78"/>
      <c r="IK49" s="78"/>
      <c r="IL49" s="78"/>
      <c r="IM49" s="78"/>
      <c r="IN49" s="78"/>
      <c r="IO49" s="78"/>
      <c r="IP49" s="78"/>
      <c r="IQ49" s="78"/>
      <c r="IR49" s="78"/>
      <c r="IS49" s="78"/>
      <c r="IT49" s="78"/>
      <c r="IU49" s="78"/>
      <c r="IV49" s="78"/>
    </row>
    <row r="50" spans="1:256" ht="12.75" customHeight="1" x14ac:dyDescent="0.25">
      <c r="A50" s="80" t="s">
        <v>142</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78"/>
      <c r="GG50" s="78"/>
      <c r="GH50" s="78"/>
      <c r="GI50" s="78"/>
      <c r="GJ50" s="78"/>
      <c r="GK50" s="78"/>
      <c r="GL50" s="78"/>
      <c r="GM50" s="78"/>
      <c r="GN50" s="78"/>
      <c r="GO50" s="78"/>
      <c r="GP50" s="78"/>
      <c r="GQ50" s="78"/>
      <c r="GR50" s="78"/>
      <c r="GS50" s="78"/>
      <c r="GT50" s="78"/>
      <c r="GU50" s="78"/>
      <c r="GV50" s="78"/>
      <c r="GW50" s="78"/>
      <c r="GX50" s="78"/>
      <c r="GY50" s="78"/>
      <c r="GZ50" s="78"/>
      <c r="HA50" s="78"/>
      <c r="HB50" s="78"/>
      <c r="HC50" s="78"/>
      <c r="HD50" s="78"/>
      <c r="HE50" s="78"/>
      <c r="HF50" s="78"/>
      <c r="HG50" s="78"/>
      <c r="HH50" s="78"/>
      <c r="HI50" s="78"/>
      <c r="HJ50" s="78"/>
      <c r="HK50" s="78"/>
      <c r="HL50" s="78"/>
      <c r="HM50" s="78"/>
      <c r="HN50" s="78"/>
      <c r="HO50" s="78"/>
      <c r="HP50" s="78"/>
      <c r="HQ50" s="78"/>
      <c r="HR50" s="78"/>
      <c r="HS50" s="78"/>
      <c r="HT50" s="78"/>
      <c r="HU50" s="78"/>
      <c r="HV50" s="78"/>
      <c r="HW50" s="78"/>
      <c r="HX50" s="78"/>
      <c r="HY50" s="78"/>
      <c r="HZ50" s="78"/>
      <c r="IA50" s="78"/>
      <c r="IB50" s="78"/>
      <c r="IC50" s="78"/>
      <c r="ID50" s="78"/>
      <c r="IE50" s="78"/>
      <c r="IF50" s="78"/>
      <c r="IG50" s="78"/>
      <c r="IH50" s="78"/>
      <c r="II50" s="78"/>
      <c r="IJ50" s="78"/>
      <c r="IK50" s="78"/>
      <c r="IL50" s="78"/>
      <c r="IM50" s="78"/>
      <c r="IN50" s="78"/>
      <c r="IO50" s="78"/>
      <c r="IP50" s="78"/>
      <c r="IQ50" s="78"/>
      <c r="IR50" s="78"/>
      <c r="IS50" s="78"/>
      <c r="IT50" s="78"/>
      <c r="IU50" s="78"/>
      <c r="IV50" s="78"/>
    </row>
    <row r="51" spans="1:256" ht="11.25" customHeight="1" x14ac:dyDescent="0.25">
      <c r="B51" s="58"/>
      <c r="C51" s="62"/>
      <c r="D51" s="62"/>
      <c r="E51" s="62"/>
      <c r="F51" s="62"/>
      <c r="G51" s="62"/>
      <c r="H51" s="62"/>
      <c r="I51" s="62"/>
      <c r="J51" s="62"/>
      <c r="K51" s="62"/>
    </row>
    <row r="52" spans="1:256" ht="11.25" customHeight="1" x14ac:dyDescent="0.25">
      <c r="A52" s="80"/>
      <c r="B52" s="58"/>
      <c r="C52" s="62"/>
      <c r="D52" s="62"/>
      <c r="E52" s="62"/>
      <c r="F52" s="62"/>
      <c r="G52" s="62"/>
      <c r="H52" s="62"/>
      <c r="I52" s="62"/>
      <c r="J52" s="62"/>
      <c r="K52" s="62"/>
    </row>
    <row r="53" spans="1:256" ht="11.25" customHeight="1" x14ac:dyDescent="0.25">
      <c r="A53" s="411" t="str">
        <f>A22&amp;" including capital transfers/contributions etc"</f>
        <v>Total Revenue (excluding capital transfers and contributions) including capital transfers/contributions etc</v>
      </c>
      <c r="B53" s="58"/>
      <c r="C53" s="62">
        <f t="shared" ref="C53:H53" si="13">C22+SUM(C39:C41)</f>
        <v>0</v>
      </c>
      <c r="D53" s="62">
        <f t="shared" si="13"/>
        <v>6443701838.8720617</v>
      </c>
      <c r="E53" s="62">
        <f t="shared" si="13"/>
        <v>6532699838.8720617</v>
      </c>
      <c r="F53" s="62">
        <f t="shared" si="13"/>
        <v>733498751.58999991</v>
      </c>
      <c r="G53" s="62">
        <f t="shared" si="13"/>
        <v>3307890687.9899998</v>
      </c>
      <c r="H53" s="62">
        <f t="shared" si="13"/>
        <v>3266349919.4360309</v>
      </c>
      <c r="I53" s="62"/>
      <c r="J53" s="62"/>
      <c r="K53" s="62">
        <f>K22+SUM(K39:K41)</f>
        <v>6532699838.8720617</v>
      </c>
    </row>
    <row r="54" spans="1:256" ht="11.25" customHeight="1" x14ac:dyDescent="0.25">
      <c r="A54" s="80"/>
      <c r="B54" s="58"/>
      <c r="C54" s="62"/>
      <c r="D54" s="62"/>
      <c r="E54" s="62"/>
      <c r="F54" s="62"/>
      <c r="G54" s="62"/>
      <c r="H54" s="62"/>
      <c r="I54" s="62"/>
      <c r="J54" s="62"/>
      <c r="K54" s="62"/>
    </row>
    <row r="55" spans="1:256" ht="11.25" customHeight="1" x14ac:dyDescent="0.25">
      <c r="A55" s="80"/>
      <c r="B55" s="58"/>
      <c r="C55" s="62"/>
      <c r="D55" s="62"/>
      <c r="E55" s="62"/>
      <c r="F55" s="62"/>
      <c r="G55" s="62"/>
      <c r="H55" s="62"/>
      <c r="I55" s="62"/>
      <c r="J55" s="62"/>
      <c r="K55" s="62"/>
    </row>
    <row r="56" spans="1:256" ht="11.25" customHeight="1" x14ac:dyDescent="0.25">
      <c r="A56" s="80"/>
      <c r="B56" s="58"/>
      <c r="C56" s="62"/>
      <c r="D56" s="62"/>
      <c r="E56" s="62"/>
      <c r="F56" s="62"/>
      <c r="G56" s="62"/>
      <c r="H56" s="62"/>
      <c r="I56" s="62"/>
      <c r="J56" s="62"/>
      <c r="K56" s="62"/>
    </row>
    <row r="57" spans="1:256" ht="11.25" customHeight="1" x14ac:dyDescent="0.25">
      <c r="A57" s="65"/>
      <c r="B57" s="64"/>
      <c r="C57" s="689"/>
      <c r="D57" s="689"/>
      <c r="E57" s="689"/>
      <c r="F57" s="689"/>
      <c r="G57" s="689"/>
      <c r="H57" s="689"/>
      <c r="I57" s="689"/>
      <c r="J57" s="689"/>
      <c r="K57" s="689"/>
    </row>
    <row r="58" spans="1:256" ht="11.25" customHeight="1" x14ac:dyDescent="0.25">
      <c r="A58" s="65"/>
      <c r="B58" s="64"/>
      <c r="C58" s="66"/>
      <c r="D58" s="66"/>
      <c r="E58" s="66"/>
      <c r="F58" s="66"/>
      <c r="G58" s="66"/>
      <c r="H58" s="66"/>
      <c r="I58" s="66"/>
      <c r="J58" s="66"/>
      <c r="K58" s="66"/>
    </row>
    <row r="59" spans="1:256" ht="11.25" customHeight="1" x14ac:dyDescent="0.25">
      <c r="B59" s="25"/>
    </row>
    <row r="60" spans="1:256" ht="11.25" customHeight="1" x14ac:dyDescent="0.25">
      <c r="B60" s="25"/>
    </row>
    <row r="61" spans="1:256" ht="11.25" customHeight="1" x14ac:dyDescent="0.25">
      <c r="B61" s="25"/>
    </row>
    <row r="62" spans="1:256" ht="11.25" customHeight="1" x14ac:dyDescent="0.25">
      <c r="B62" s="25"/>
    </row>
    <row r="63" spans="1:256" ht="11.25" customHeight="1" x14ac:dyDescent="0.25">
      <c r="B63" s="25"/>
    </row>
    <row r="64" spans="1:256"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c r="B84" s="25"/>
    </row>
    <row r="85" spans="2:2" ht="11.25" customHeight="1" x14ac:dyDescent="0.25">
      <c r="B85" s="25"/>
    </row>
    <row r="86" spans="2:2" ht="11.25" customHeight="1" x14ac:dyDescent="0.25">
      <c r="B86" s="25"/>
    </row>
    <row r="87" spans="2:2" ht="11.25" customHeight="1" x14ac:dyDescent="0.25">
      <c r="B87" s="25"/>
    </row>
    <row r="88" spans="2:2" ht="11.25" customHeight="1" x14ac:dyDescent="0.25">
      <c r="B88" s="25"/>
    </row>
    <row r="89" spans="2:2" ht="11.25" customHeight="1" x14ac:dyDescent="0.25">
      <c r="B89" s="25"/>
    </row>
    <row r="90" spans="2:2" ht="11.25" customHeight="1" x14ac:dyDescent="0.25">
      <c r="B90" s="25"/>
    </row>
    <row r="91" spans="2:2" ht="11.25" customHeight="1" x14ac:dyDescent="0.25">
      <c r="B91" s="25"/>
    </row>
    <row r="92" spans="2:2" ht="11.25" customHeight="1" x14ac:dyDescent="0.25"/>
    <row r="93" spans="2:2" ht="11.25" customHeight="1" x14ac:dyDescent="0.25"/>
  </sheetData>
  <sheetProtection password="C646" sheet="1" objects="1" scenarios="1"/>
  <mergeCells count="4">
    <mergeCell ref="A2:A3"/>
    <mergeCell ref="B2:B3"/>
    <mergeCell ref="D2:K2"/>
    <mergeCell ref="A1:K1"/>
  </mergeCells>
  <phoneticPr fontId="2" type="noConversion"/>
  <printOptions horizontalCentered="1"/>
  <pageMargins left="0.35433070866141736" right="0.15748031496062992" top="0.78740157480314965" bottom="0.61" header="0.51181102362204722" footer="0.39370078740157483"/>
  <pageSetup paperSize="9"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4"/>
    <pageSetUpPr fitToPage="1"/>
  </sheetPr>
  <dimension ref="A1:L121"/>
  <sheetViews>
    <sheetView showGridLines="0" zoomScaleNormal="100" workbookViewId="0">
      <pane xSplit="2" ySplit="4" topLeftCell="C47" activePane="bottomRight" state="frozen"/>
      <selection pane="topRight"/>
      <selection pane="bottomLeft"/>
      <selection pane="bottomRight" activeCell="G50" sqref="G50"/>
    </sheetView>
  </sheetViews>
  <sheetFormatPr defaultColWidth="9.140625" defaultRowHeight="12.75" x14ac:dyDescent="0.25"/>
  <cols>
    <col min="1" max="1" width="35.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2" ht="28.5" customHeight="1" x14ac:dyDescent="0.25">
      <c r="A1" s="1044" t="str">
        <f>muni&amp; " - "&amp;S71D&amp; " - "&amp;date</f>
        <v>KZN225 Msunduzi - Table C5 Consolidated Monthly Budget Statement - Capital Expenditure (municipal vote, functional classification and funding  - Mid-Year Assessment</v>
      </c>
      <c r="B1" s="1044"/>
      <c r="C1" s="1044"/>
      <c r="D1" s="1044"/>
      <c r="E1" s="1044"/>
      <c r="F1" s="1044"/>
      <c r="G1" s="1044"/>
      <c r="H1" s="1044"/>
      <c r="I1" s="1044"/>
      <c r="J1" s="1044"/>
      <c r="K1" s="1044"/>
    </row>
    <row r="2" spans="1:12" x14ac:dyDescent="0.25">
      <c r="A2" s="1042" t="str">
        <f>Vdesc</f>
        <v>Vote Description</v>
      </c>
      <c r="B2" s="1051" t="str">
        <f>head27</f>
        <v>Ref</v>
      </c>
      <c r="C2" s="139" t="str">
        <f>Head1</f>
        <v>2019/20</v>
      </c>
      <c r="D2" s="245" t="str">
        <f>Head2</f>
        <v>Budget Year 2020/21</v>
      </c>
      <c r="E2" s="229"/>
      <c r="F2" s="229"/>
      <c r="G2" s="229"/>
      <c r="H2" s="229"/>
      <c r="I2" s="229"/>
      <c r="J2" s="229"/>
      <c r="K2" s="230"/>
    </row>
    <row r="3" spans="1:12" ht="25.5" x14ac:dyDescent="0.25">
      <c r="A3" s="1043"/>
      <c r="B3" s="1052"/>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2" x14ac:dyDescent="0.25">
      <c r="A4" s="34" t="s">
        <v>667</v>
      </c>
      <c r="B4" s="418">
        <v>1</v>
      </c>
      <c r="C4" s="187"/>
      <c r="D4" s="246"/>
      <c r="E4" s="241"/>
      <c r="F4" s="82"/>
      <c r="G4" s="82"/>
      <c r="H4" s="82"/>
      <c r="I4" s="82"/>
      <c r="J4" s="242" t="s">
        <v>575</v>
      </c>
      <c r="K4" s="223"/>
    </row>
    <row r="5" spans="1:12" ht="11.25" customHeight="1" x14ac:dyDescent="0.25">
      <c r="A5" s="182" t="s">
        <v>662</v>
      </c>
      <c r="B5" s="519">
        <v>2</v>
      </c>
      <c r="C5" s="134"/>
      <c r="D5" s="258"/>
      <c r="E5" s="44"/>
      <c r="F5" s="44"/>
      <c r="G5" s="44"/>
      <c r="H5" s="44"/>
      <c r="I5" s="44"/>
      <c r="J5" s="44"/>
      <c r="K5" s="144"/>
      <c r="L5" s="100"/>
    </row>
    <row r="6" spans="1:12" ht="13.5" customHeight="1" x14ac:dyDescent="0.25">
      <c r="A6" s="407" t="str">
        <f>'Org structure'!A2</f>
        <v>Vote 1 - City Manager</v>
      </c>
      <c r="B6" s="419"/>
      <c r="C6" s="531">
        <f>'C5C'!C7</f>
        <v>0</v>
      </c>
      <c r="D6" s="532">
        <f>'C5C'!D7</f>
        <v>3800000</v>
      </c>
      <c r="E6" s="47">
        <f>'C5C'!E7</f>
        <v>3800000</v>
      </c>
      <c r="F6" s="47">
        <f>'C5C'!F7</f>
        <v>0</v>
      </c>
      <c r="G6" s="47">
        <f>'C5C'!G7</f>
        <v>0</v>
      </c>
      <c r="H6" s="47">
        <f>'C5C'!H7</f>
        <v>1900000</v>
      </c>
      <c r="I6" s="44">
        <f>G6-H6</f>
        <v>-1900000</v>
      </c>
      <c r="J6" s="330">
        <f>IF(I6=0,"",I6/H6)</f>
        <v>-1</v>
      </c>
      <c r="K6" s="144">
        <f>'C5C'!K7</f>
        <v>3800000</v>
      </c>
      <c r="L6" s="100"/>
    </row>
    <row r="7" spans="1:12" ht="13.5" customHeight="1" x14ac:dyDescent="0.25">
      <c r="A7" s="407" t="str">
        <f>'Org structure'!A3</f>
        <v>Vote 2 - City Finance</v>
      </c>
      <c r="B7" s="419"/>
      <c r="C7" s="648">
        <f>'C5C'!C12</f>
        <v>0</v>
      </c>
      <c r="D7" s="670">
        <f>'C5C'!D12</f>
        <v>12500000</v>
      </c>
      <c r="E7" s="408">
        <f>'C5C'!E12</f>
        <v>12500000</v>
      </c>
      <c r="F7" s="408">
        <f>'C5C'!F12</f>
        <v>0</v>
      </c>
      <c r="G7" s="408">
        <f>'C5C'!G12</f>
        <v>0</v>
      </c>
      <c r="H7" s="408">
        <f>'C5C'!H12</f>
        <v>6250000</v>
      </c>
      <c r="I7" s="44">
        <f>G7-H7</f>
        <v>-6250000</v>
      </c>
      <c r="J7" s="330">
        <f>IF(I7=0,"",I7/H7)</f>
        <v>-1</v>
      </c>
      <c r="K7" s="642">
        <f>'C5C'!K12</f>
        <v>12500000</v>
      </c>
      <c r="L7" s="100"/>
    </row>
    <row r="8" spans="1:12" ht="13.5" customHeight="1" x14ac:dyDescent="0.25">
      <c r="A8" s="407" t="str">
        <f>'Org structure'!A4</f>
        <v>Vote 3 - Community Services and Social Equity</v>
      </c>
      <c r="B8" s="419"/>
      <c r="C8" s="648">
        <f>'C5C'!C18</f>
        <v>0</v>
      </c>
      <c r="D8" s="670">
        <f>'C5C'!D18</f>
        <v>23812425</v>
      </c>
      <c r="E8" s="408">
        <f>'C5C'!E18</f>
        <v>23812425</v>
      </c>
      <c r="F8" s="408">
        <f>'C5C'!F18</f>
        <v>0</v>
      </c>
      <c r="G8" s="408">
        <f>'C5C'!G18</f>
        <v>0</v>
      </c>
      <c r="H8" s="408">
        <f>'C5C'!H18</f>
        <v>11906212.5</v>
      </c>
      <c r="I8" s="44">
        <f t="shared" ref="I8:I17" si="0">G8-H8</f>
        <v>-11906212.5</v>
      </c>
      <c r="J8" s="330">
        <f t="shared" ref="J8:J17" si="1">IF(I8=0,"",I8/H8)</f>
        <v>-1</v>
      </c>
      <c r="K8" s="642">
        <f>'C5C'!K18</f>
        <v>23812425</v>
      </c>
      <c r="L8" s="697"/>
    </row>
    <row r="9" spans="1:12" ht="13.5" customHeight="1" x14ac:dyDescent="0.25">
      <c r="A9" s="407" t="str">
        <f>'Org structure'!A5</f>
        <v>Vote 4 - Corporate Services</v>
      </c>
      <c r="B9" s="419"/>
      <c r="C9" s="648">
        <f>'C5C'!C23</f>
        <v>0</v>
      </c>
      <c r="D9" s="670">
        <f>'C5C'!D23</f>
        <v>0</v>
      </c>
      <c r="E9" s="408">
        <f>'C5C'!E23</f>
        <v>0</v>
      </c>
      <c r="F9" s="408">
        <f>'C5C'!F23</f>
        <v>1352231.79</v>
      </c>
      <c r="G9" s="408">
        <f>'C5C'!G23</f>
        <v>4067718.94</v>
      </c>
      <c r="H9" s="408">
        <f>'C5C'!H23</f>
        <v>0</v>
      </c>
      <c r="I9" s="44">
        <f t="shared" si="0"/>
        <v>4067718.94</v>
      </c>
      <c r="J9" s="330" t="e">
        <f t="shared" si="1"/>
        <v>#DIV/0!</v>
      </c>
      <c r="K9" s="642">
        <f>'C5C'!K23</f>
        <v>0</v>
      </c>
      <c r="L9" s="697"/>
    </row>
    <row r="10" spans="1:12" ht="13.5" customHeight="1" x14ac:dyDescent="0.25">
      <c r="A10" s="407" t="str">
        <f>'Org structure'!A6</f>
        <v>Vote 5 - Infrastructure Services</v>
      </c>
      <c r="B10" s="419"/>
      <c r="C10" s="648">
        <f>'C5C'!C29</f>
        <v>0</v>
      </c>
      <c r="D10" s="670">
        <f>'C5C'!D29</f>
        <v>168455000</v>
      </c>
      <c r="E10" s="408">
        <f>'C5C'!E29</f>
        <v>168455000</v>
      </c>
      <c r="F10" s="408">
        <f>'C5C'!F29</f>
        <v>59716144.509999998</v>
      </c>
      <c r="G10" s="408">
        <f>'C5C'!G29</f>
        <v>196797955.75999999</v>
      </c>
      <c r="H10" s="408">
        <f>'C5C'!H29</f>
        <v>84227500</v>
      </c>
      <c r="I10" s="44">
        <f t="shared" si="0"/>
        <v>112570455.75999999</v>
      </c>
      <c r="J10" s="330">
        <f t="shared" si="1"/>
        <v>1.3365047729067108</v>
      </c>
      <c r="K10" s="642">
        <f>'C5C'!K29</f>
        <v>168455000</v>
      </c>
      <c r="L10" s="697"/>
    </row>
    <row r="11" spans="1:12" ht="13.5" customHeight="1" x14ac:dyDescent="0.25">
      <c r="A11" s="407" t="str">
        <f>'Org structure'!A7</f>
        <v>Vote 6 - Sustainable Development and City Enterprises</v>
      </c>
      <c r="B11" s="419"/>
      <c r="C11" s="648">
        <f>'C5C'!C35</f>
        <v>0</v>
      </c>
      <c r="D11" s="670">
        <f>'C5C'!D35</f>
        <v>300600156</v>
      </c>
      <c r="E11" s="408">
        <f>'C5C'!E35</f>
        <v>300600156</v>
      </c>
      <c r="F11" s="408">
        <f>'C5C'!F35</f>
        <v>4378871.9399999995</v>
      </c>
      <c r="G11" s="408">
        <f>'C5C'!G35</f>
        <v>32684895.860000003</v>
      </c>
      <c r="H11" s="408">
        <f>'C5C'!H35</f>
        <v>150300078</v>
      </c>
      <c r="I11" s="44">
        <f t="shared" si="0"/>
        <v>-117615182.14</v>
      </c>
      <c r="J11" s="330">
        <f t="shared" si="1"/>
        <v>-0.78253573587633141</v>
      </c>
      <c r="K11" s="642">
        <f>'C5C'!K35</f>
        <v>300600156</v>
      </c>
      <c r="L11" s="697"/>
    </row>
    <row r="12" spans="1:12" ht="13.5" customHeight="1" x14ac:dyDescent="0.25">
      <c r="A12" s="407" t="str">
        <f>'Org structure'!A8</f>
        <v>Vote 7 - [NAME OF VOTE 7]</v>
      </c>
      <c r="B12" s="419"/>
      <c r="C12" s="648">
        <f>'C5C'!C46</f>
        <v>0</v>
      </c>
      <c r="D12" s="670">
        <f>'C5C'!D46</f>
        <v>0</v>
      </c>
      <c r="E12" s="408">
        <f>'C5C'!E46</f>
        <v>0</v>
      </c>
      <c r="F12" s="408">
        <f>'C5C'!F46</f>
        <v>0</v>
      </c>
      <c r="G12" s="408">
        <f>'C5C'!G46</f>
        <v>0</v>
      </c>
      <c r="H12" s="408">
        <f>'C5C'!H46</f>
        <v>0</v>
      </c>
      <c r="I12" s="44">
        <f t="shared" si="0"/>
        <v>0</v>
      </c>
      <c r="J12" s="330" t="str">
        <f t="shared" si="1"/>
        <v/>
      </c>
      <c r="K12" s="642">
        <f>'C5C'!K46</f>
        <v>0</v>
      </c>
      <c r="L12" s="697"/>
    </row>
    <row r="13" spans="1:12" ht="13.5" customHeight="1" x14ac:dyDescent="0.25">
      <c r="A13" s="407" t="str">
        <f>'Org structure'!A9</f>
        <v>Vote 8 - [NAME OF VOTE 8]</v>
      </c>
      <c r="B13" s="419"/>
      <c r="C13" s="648">
        <f>'C5C'!C57</f>
        <v>0</v>
      </c>
      <c r="D13" s="670">
        <f>'C5C'!D57</f>
        <v>0</v>
      </c>
      <c r="E13" s="408">
        <f>'C5C'!E57</f>
        <v>0</v>
      </c>
      <c r="F13" s="408">
        <f>'C5C'!F57</f>
        <v>0</v>
      </c>
      <c r="G13" s="408">
        <f>'C5C'!G57</f>
        <v>0</v>
      </c>
      <c r="H13" s="408">
        <f>'C5C'!H57</f>
        <v>0</v>
      </c>
      <c r="I13" s="44">
        <f t="shared" si="0"/>
        <v>0</v>
      </c>
      <c r="J13" s="330" t="str">
        <f t="shared" si="1"/>
        <v/>
      </c>
      <c r="K13" s="642">
        <f>'C5C'!K57</f>
        <v>0</v>
      </c>
      <c r="L13" s="697"/>
    </row>
    <row r="14" spans="1:12" ht="13.5" customHeight="1" x14ac:dyDescent="0.25">
      <c r="A14" s="407" t="str">
        <f>'Org structure'!A10</f>
        <v>Vote 9 - [NAME OF VOTE 9]</v>
      </c>
      <c r="B14" s="419"/>
      <c r="C14" s="648">
        <f>'C5C'!C68</f>
        <v>0</v>
      </c>
      <c r="D14" s="670">
        <f>'C5C'!D68</f>
        <v>0</v>
      </c>
      <c r="E14" s="408">
        <f>'C5C'!E68</f>
        <v>0</v>
      </c>
      <c r="F14" s="408">
        <f>'C5C'!F68</f>
        <v>0</v>
      </c>
      <c r="G14" s="408">
        <f>'C5C'!G68</f>
        <v>0</v>
      </c>
      <c r="H14" s="408">
        <f>'C5C'!H68</f>
        <v>0</v>
      </c>
      <c r="I14" s="44">
        <f t="shared" si="0"/>
        <v>0</v>
      </c>
      <c r="J14" s="330" t="str">
        <f t="shared" si="1"/>
        <v/>
      </c>
      <c r="K14" s="642">
        <f>'C5C'!K68</f>
        <v>0</v>
      </c>
      <c r="L14" s="697"/>
    </row>
    <row r="15" spans="1:12" ht="13.5" customHeight="1" x14ac:dyDescent="0.25">
      <c r="A15" s="407" t="str">
        <f>'Org structure'!A11</f>
        <v>Vote 10 - [NAME OF VOTE 10]</v>
      </c>
      <c r="B15" s="419"/>
      <c r="C15" s="648">
        <f>'C5C'!C79</f>
        <v>0</v>
      </c>
      <c r="D15" s="670">
        <f>'C5C'!D79</f>
        <v>0</v>
      </c>
      <c r="E15" s="408">
        <f>'C5C'!E79</f>
        <v>0</v>
      </c>
      <c r="F15" s="408">
        <f>'C5C'!F79</f>
        <v>0</v>
      </c>
      <c r="G15" s="408">
        <f>'C5C'!G79</f>
        <v>0</v>
      </c>
      <c r="H15" s="408">
        <f>'C5C'!H79</f>
        <v>0</v>
      </c>
      <c r="I15" s="44">
        <f t="shared" si="0"/>
        <v>0</v>
      </c>
      <c r="J15" s="330" t="str">
        <f t="shared" si="1"/>
        <v/>
      </c>
      <c r="K15" s="642">
        <f>'C5C'!K79</f>
        <v>0</v>
      </c>
      <c r="L15" s="697"/>
    </row>
    <row r="16" spans="1:12" ht="13.5" customHeight="1" x14ac:dyDescent="0.25">
      <c r="A16" s="407" t="str">
        <f>'Org structure'!A12</f>
        <v>Vote 11 - [NAME OF VOTE 11]</v>
      </c>
      <c r="B16" s="419"/>
      <c r="C16" s="648">
        <f>'C5C'!C90</f>
        <v>0</v>
      </c>
      <c r="D16" s="670">
        <f>'C5C'!D90</f>
        <v>0</v>
      </c>
      <c r="E16" s="408">
        <f>'C5C'!E90</f>
        <v>0</v>
      </c>
      <c r="F16" s="408">
        <f>'C5C'!F90</f>
        <v>0</v>
      </c>
      <c r="G16" s="408">
        <f>'C5C'!G90</f>
        <v>0</v>
      </c>
      <c r="H16" s="408">
        <f>'C5C'!H90</f>
        <v>0</v>
      </c>
      <c r="I16" s="44">
        <f t="shared" si="0"/>
        <v>0</v>
      </c>
      <c r="J16" s="330" t="str">
        <f t="shared" si="1"/>
        <v/>
      </c>
      <c r="K16" s="642">
        <f>'C5C'!K90</f>
        <v>0</v>
      </c>
      <c r="L16" s="697"/>
    </row>
    <row r="17" spans="1:12" ht="13.5" customHeight="1" x14ac:dyDescent="0.25">
      <c r="A17" s="407" t="str">
        <f>'Org structure'!A13</f>
        <v>Vote 12 - [NAME OF VOTE 12]</v>
      </c>
      <c r="B17" s="419"/>
      <c r="C17" s="648">
        <f>'C5C'!C101</f>
        <v>0</v>
      </c>
      <c r="D17" s="670">
        <f>'C5C'!D101</f>
        <v>0</v>
      </c>
      <c r="E17" s="408">
        <f>'C5C'!E101</f>
        <v>0</v>
      </c>
      <c r="F17" s="408">
        <f>'C5C'!F101</f>
        <v>0</v>
      </c>
      <c r="G17" s="408">
        <f>'C5C'!G101</f>
        <v>0</v>
      </c>
      <c r="H17" s="408">
        <f>'C5C'!H101</f>
        <v>0</v>
      </c>
      <c r="I17" s="44">
        <f t="shared" si="0"/>
        <v>0</v>
      </c>
      <c r="J17" s="330" t="str">
        <f t="shared" si="1"/>
        <v/>
      </c>
      <c r="K17" s="642">
        <f>'C5C'!K101</f>
        <v>0</v>
      </c>
      <c r="L17" s="697"/>
    </row>
    <row r="18" spans="1:12" ht="13.5" customHeight="1" x14ac:dyDescent="0.25">
      <c r="A18" s="407" t="str">
        <f>'Org structure'!A14</f>
        <v>Vote 13 - [NAME OF VOTE 13]</v>
      </c>
      <c r="B18" s="419"/>
      <c r="C18" s="648">
        <f>'C5C'!C112</f>
        <v>0</v>
      </c>
      <c r="D18" s="670">
        <f>'C5C'!D112</f>
        <v>0</v>
      </c>
      <c r="E18" s="408">
        <f>'C5C'!E112</f>
        <v>0</v>
      </c>
      <c r="F18" s="408">
        <f>'C5C'!F112</f>
        <v>0</v>
      </c>
      <c r="G18" s="408">
        <f>'C5C'!G112</f>
        <v>0</v>
      </c>
      <c r="H18" s="408">
        <f>'C5C'!H112</f>
        <v>0</v>
      </c>
      <c r="I18" s="44">
        <f>G18-H18</f>
        <v>0</v>
      </c>
      <c r="J18" s="330" t="str">
        <f>IF(I18=0,"",I18/H18)</f>
        <v/>
      </c>
      <c r="K18" s="642">
        <f>'C5C'!K112</f>
        <v>0</v>
      </c>
      <c r="L18" s="697"/>
    </row>
    <row r="19" spans="1:12" ht="13.5" customHeight="1" x14ac:dyDescent="0.25">
      <c r="A19" s="407" t="str">
        <f>'Org structure'!A15</f>
        <v>Vote 14 - [NAME OF VOTE 14]</v>
      </c>
      <c r="B19" s="419"/>
      <c r="C19" s="648">
        <f>'C5C'!C123</f>
        <v>0</v>
      </c>
      <c r="D19" s="670">
        <f>'C5C'!D123</f>
        <v>0</v>
      </c>
      <c r="E19" s="408">
        <f>'C5C'!E123</f>
        <v>0</v>
      </c>
      <c r="F19" s="408">
        <f>'C5C'!F123</f>
        <v>0</v>
      </c>
      <c r="G19" s="408">
        <f>'C5C'!G123</f>
        <v>0</v>
      </c>
      <c r="H19" s="408">
        <f>'C5C'!H123</f>
        <v>0</v>
      </c>
      <c r="I19" s="44">
        <f>G19-H19</f>
        <v>0</v>
      </c>
      <c r="J19" s="330" t="str">
        <f>IF(I19=0,"",I19/H19)</f>
        <v/>
      </c>
      <c r="K19" s="642">
        <f>'C5C'!K123</f>
        <v>0</v>
      </c>
      <c r="L19" s="697"/>
    </row>
    <row r="20" spans="1:12" ht="13.5" customHeight="1" x14ac:dyDescent="0.25">
      <c r="A20" s="407" t="str">
        <f>'Org structure'!A16</f>
        <v>Vote 15 - [NAME OF VOTE 15]</v>
      </c>
      <c r="B20" s="419"/>
      <c r="C20" s="648">
        <f>'C5C'!C134</f>
        <v>0</v>
      </c>
      <c r="D20" s="670">
        <f>'C5C'!D134</f>
        <v>0</v>
      </c>
      <c r="E20" s="408">
        <f>'C5C'!E134</f>
        <v>0</v>
      </c>
      <c r="F20" s="408">
        <f>'C5C'!F134</f>
        <v>0</v>
      </c>
      <c r="G20" s="408">
        <f>'C5C'!G134</f>
        <v>0</v>
      </c>
      <c r="H20" s="408">
        <f>'C5C'!H134</f>
        <v>0</v>
      </c>
      <c r="I20" s="44">
        <f>G20-H20</f>
        <v>0</v>
      </c>
      <c r="J20" s="330" t="str">
        <f>IF(I20=0,"",I20/H20)</f>
        <v/>
      </c>
      <c r="K20" s="642">
        <f>'C5C'!K134</f>
        <v>0</v>
      </c>
      <c r="L20" s="697"/>
    </row>
    <row r="21" spans="1:12" ht="12.75" customHeight="1" x14ac:dyDescent="0.25">
      <c r="A21" s="87" t="s">
        <v>759</v>
      </c>
      <c r="B21" s="419" t="s">
        <v>525</v>
      </c>
      <c r="C21" s="516">
        <f>SUM(C6:C20)</f>
        <v>0</v>
      </c>
      <c r="D21" s="544">
        <f t="shared" ref="D21:I21" si="2">SUM(D6:D20)</f>
        <v>509167581</v>
      </c>
      <c r="E21" s="430">
        <f t="shared" si="2"/>
        <v>509167581</v>
      </c>
      <c r="F21" s="430">
        <f t="shared" si="2"/>
        <v>65447248.239999995</v>
      </c>
      <c r="G21" s="430">
        <f t="shared" si="2"/>
        <v>233550570.56</v>
      </c>
      <c r="H21" s="430">
        <f t="shared" si="2"/>
        <v>254583790.5</v>
      </c>
      <c r="I21" s="430">
        <f t="shared" si="2"/>
        <v>-21033219.940000013</v>
      </c>
      <c r="J21" s="431">
        <f>IF(I21=0,"",I21/H21)</f>
        <v>-8.2618064169329014E-2</v>
      </c>
      <c r="K21" s="513">
        <f>SUM(K6:K20)</f>
        <v>509167581</v>
      </c>
      <c r="L21" s="100"/>
    </row>
    <row r="22" spans="1:12" ht="5.0999999999999996" customHeight="1" x14ac:dyDescent="0.25">
      <c r="A22" s="42"/>
      <c r="B22" s="419"/>
      <c r="C22" s="134"/>
      <c r="D22" s="258"/>
      <c r="E22" s="44"/>
      <c r="F22" s="44"/>
      <c r="G22" s="44"/>
      <c r="H22" s="44"/>
      <c r="I22" s="44"/>
      <c r="J22" s="330"/>
      <c r="K22" s="144"/>
      <c r="L22" s="100"/>
    </row>
    <row r="23" spans="1:12" ht="12.75" customHeight="1" x14ac:dyDescent="0.25">
      <c r="A23" s="35" t="s">
        <v>474</v>
      </c>
      <c r="B23" s="419">
        <v>2</v>
      </c>
      <c r="C23" s="134"/>
      <c r="D23" s="258"/>
      <c r="E23" s="44"/>
      <c r="F23" s="44"/>
      <c r="G23" s="44"/>
      <c r="H23" s="44"/>
      <c r="I23" s="44"/>
      <c r="J23" s="330"/>
      <c r="K23" s="144"/>
      <c r="L23" s="100"/>
    </row>
    <row r="24" spans="1:12" ht="12.75" customHeight="1" x14ac:dyDescent="0.25">
      <c r="A24" s="407" t="str">
        <f>'Org structure'!A2</f>
        <v>Vote 1 - City Manager</v>
      </c>
      <c r="B24" s="419"/>
      <c r="C24" s="134">
        <f>'C5C'!C149</f>
        <v>0</v>
      </c>
      <c r="D24" s="258">
        <f>'C5C'!D149</f>
        <v>0</v>
      </c>
      <c r="E24" s="44">
        <f>'C5C'!E149</f>
        <v>0</v>
      </c>
      <c r="F24" s="44">
        <f>'C5C'!F149</f>
        <v>0</v>
      </c>
      <c r="G24" s="44">
        <f>'C5C'!G149</f>
        <v>1142694.8500000001</v>
      </c>
      <c r="H24" s="44">
        <f>'C5C'!H149</f>
        <v>0</v>
      </c>
      <c r="I24" s="44">
        <f>'C5C'!I149</f>
        <v>1142694.8500000001</v>
      </c>
      <c r="J24" s="330" t="e">
        <f>IF(I24=0,"",I24/H24)</f>
        <v>#DIV/0!</v>
      </c>
      <c r="K24" s="144">
        <f>'C5C'!K149</f>
        <v>0</v>
      </c>
      <c r="L24" s="100"/>
    </row>
    <row r="25" spans="1:12" ht="12.75" customHeight="1" x14ac:dyDescent="0.25">
      <c r="A25" s="407" t="str">
        <f>'Org structure'!A3</f>
        <v>Vote 2 - City Finance</v>
      </c>
      <c r="B25" s="419"/>
      <c r="C25" s="134">
        <f>'C5C'!C160</f>
        <v>0</v>
      </c>
      <c r="D25" s="258">
        <f>'C5C'!D160</f>
        <v>15000000</v>
      </c>
      <c r="E25" s="44">
        <f>'C5C'!E160</f>
        <v>15800000</v>
      </c>
      <c r="F25" s="44">
        <f>'C5C'!F160</f>
        <v>156107.73000000001</v>
      </c>
      <c r="G25" s="44">
        <f>'C5C'!G160</f>
        <v>361546.49</v>
      </c>
      <c r="H25" s="44">
        <f>'C5C'!H160</f>
        <v>7900000</v>
      </c>
      <c r="I25" s="44">
        <f>'C5C'!I160</f>
        <v>-7538453.5099999998</v>
      </c>
      <c r="J25" s="330">
        <f t="shared" ref="J25:J39" si="3">IF(I25=0,"",I25/H25)</f>
        <v>-0.9542346215189873</v>
      </c>
      <c r="K25" s="144">
        <f>'C5C'!K160</f>
        <v>15800000</v>
      </c>
      <c r="L25" s="100"/>
    </row>
    <row r="26" spans="1:12" ht="12.75" customHeight="1" x14ac:dyDescent="0.25">
      <c r="A26" s="407" t="str">
        <f>'Org structure'!A4</f>
        <v>Vote 3 - Community Services and Social Equity</v>
      </c>
      <c r="B26" s="419"/>
      <c r="C26" s="134">
        <f>'C5C'!C171</f>
        <v>0</v>
      </c>
      <c r="D26" s="258">
        <f>'C5C'!D171</f>
        <v>13700000</v>
      </c>
      <c r="E26" s="44">
        <f>'C5C'!E171</f>
        <v>33700000</v>
      </c>
      <c r="F26" s="44">
        <f>'C5C'!F171</f>
        <v>0</v>
      </c>
      <c r="G26" s="44">
        <f>'C5C'!G171</f>
        <v>0</v>
      </c>
      <c r="H26" s="44">
        <f>'C5C'!H171</f>
        <v>16850000</v>
      </c>
      <c r="I26" s="44">
        <f>'C5C'!I171</f>
        <v>-16850000</v>
      </c>
      <c r="J26" s="330">
        <f t="shared" si="3"/>
        <v>-1</v>
      </c>
      <c r="K26" s="144">
        <f>'C5C'!K171</f>
        <v>33700000</v>
      </c>
      <c r="L26" s="697"/>
    </row>
    <row r="27" spans="1:12" ht="12.75" customHeight="1" x14ac:dyDescent="0.25">
      <c r="A27" s="407" t="str">
        <f>'Org structure'!A5</f>
        <v>Vote 4 - Corporate Services</v>
      </c>
      <c r="B27" s="419"/>
      <c r="C27" s="134">
        <f>'C5C'!C182</f>
        <v>0</v>
      </c>
      <c r="D27" s="258">
        <f>'C5C'!D182</f>
        <v>0</v>
      </c>
      <c r="E27" s="44">
        <f>'C5C'!E182</f>
        <v>0</v>
      </c>
      <c r="F27" s="44">
        <f>'C5C'!F182</f>
        <v>191850</v>
      </c>
      <c r="G27" s="44">
        <f>'C5C'!G182</f>
        <v>9682955.1699999999</v>
      </c>
      <c r="H27" s="44">
        <f>'C5C'!H182</f>
        <v>0</v>
      </c>
      <c r="I27" s="44">
        <f>'C5C'!I182</f>
        <v>9682955.1699999999</v>
      </c>
      <c r="J27" s="330" t="e">
        <f t="shared" si="3"/>
        <v>#DIV/0!</v>
      </c>
      <c r="K27" s="144">
        <f>'C5C'!K182</f>
        <v>0</v>
      </c>
      <c r="L27" s="697"/>
    </row>
    <row r="28" spans="1:12" ht="12.75" customHeight="1" x14ac:dyDescent="0.25">
      <c r="A28" s="407" t="str">
        <f>'Org structure'!A6</f>
        <v>Vote 5 - Infrastructure Services</v>
      </c>
      <c r="B28" s="419"/>
      <c r="C28" s="134">
        <f>'C5C'!C193</f>
        <v>0</v>
      </c>
      <c r="D28" s="258">
        <f>'C5C'!D193</f>
        <v>33000000</v>
      </c>
      <c r="E28" s="44">
        <f>'C5C'!E193</f>
        <v>53300000</v>
      </c>
      <c r="F28" s="44">
        <f>'C5C'!F193</f>
        <v>626620</v>
      </c>
      <c r="G28" s="44">
        <f>'C5C'!G193</f>
        <v>1148219.0599999821</v>
      </c>
      <c r="H28" s="44">
        <f>'C5C'!H193</f>
        <v>26650000</v>
      </c>
      <c r="I28" s="44">
        <f>'C5C'!I193</f>
        <v>-25501780.940000016</v>
      </c>
      <c r="J28" s="330">
        <f t="shared" si="3"/>
        <v>-0.95691485703564794</v>
      </c>
      <c r="K28" s="144">
        <f>'C5C'!K193</f>
        <v>53300000</v>
      </c>
      <c r="L28" s="697"/>
    </row>
    <row r="29" spans="1:12" ht="12.75" customHeight="1" x14ac:dyDescent="0.25">
      <c r="A29" s="407" t="str">
        <f>'Org structure'!A7</f>
        <v>Vote 6 - Sustainable Development and City Enterprises</v>
      </c>
      <c r="B29" s="419"/>
      <c r="C29" s="134">
        <f>'C5C'!C204</f>
        <v>0</v>
      </c>
      <c r="D29" s="258">
        <f>'C5C'!D204</f>
        <v>10024000</v>
      </c>
      <c r="E29" s="44">
        <f>'C5C'!E204</f>
        <v>10024000</v>
      </c>
      <c r="F29" s="44">
        <f>'C5C'!F204</f>
        <v>0</v>
      </c>
      <c r="G29" s="44">
        <f>'C5C'!G204</f>
        <v>1050024.72</v>
      </c>
      <c r="H29" s="44">
        <f>'C5C'!H204</f>
        <v>5012000</v>
      </c>
      <c r="I29" s="44">
        <f>'C5C'!I204</f>
        <v>-3961975.2800000003</v>
      </c>
      <c r="J29" s="330">
        <f t="shared" si="3"/>
        <v>-0.79049786113328013</v>
      </c>
      <c r="K29" s="144">
        <f>'C5C'!K204</f>
        <v>10024000</v>
      </c>
      <c r="L29" s="697"/>
    </row>
    <row r="30" spans="1:12" ht="12.75" customHeight="1" x14ac:dyDescent="0.25">
      <c r="A30" s="407" t="str">
        <f>'Org structure'!A8</f>
        <v>Vote 7 - [NAME OF VOTE 7]</v>
      </c>
      <c r="B30" s="419"/>
      <c r="C30" s="134">
        <f>'C5C'!C215</f>
        <v>0</v>
      </c>
      <c r="D30" s="258">
        <f>'C5C'!D215</f>
        <v>0</v>
      </c>
      <c r="E30" s="44">
        <f>'C5C'!E215</f>
        <v>0</v>
      </c>
      <c r="F30" s="44">
        <f>'C5C'!F215</f>
        <v>0</v>
      </c>
      <c r="G30" s="44">
        <f>'C5C'!G215</f>
        <v>0</v>
      </c>
      <c r="H30" s="44">
        <f>'C5C'!H215</f>
        <v>0</v>
      </c>
      <c r="I30" s="44">
        <f>'C5C'!I215</f>
        <v>0</v>
      </c>
      <c r="J30" s="330" t="str">
        <f t="shared" si="3"/>
        <v/>
      </c>
      <c r="K30" s="144">
        <f>'C5C'!K215</f>
        <v>0</v>
      </c>
      <c r="L30" s="697"/>
    </row>
    <row r="31" spans="1:12" ht="12.75" customHeight="1" x14ac:dyDescent="0.25">
      <c r="A31" s="407" t="str">
        <f>'Org structure'!A9</f>
        <v>Vote 8 - [NAME OF VOTE 8]</v>
      </c>
      <c r="B31" s="419"/>
      <c r="C31" s="134">
        <f>'C5C'!C226</f>
        <v>0</v>
      </c>
      <c r="D31" s="258">
        <f>'C5C'!D226</f>
        <v>0</v>
      </c>
      <c r="E31" s="44">
        <f>'C5C'!E226</f>
        <v>0</v>
      </c>
      <c r="F31" s="44">
        <f>'C5C'!F226</f>
        <v>0</v>
      </c>
      <c r="G31" s="44">
        <f>'C5C'!G226</f>
        <v>0</v>
      </c>
      <c r="H31" s="44">
        <f>'C5C'!H226</f>
        <v>0</v>
      </c>
      <c r="I31" s="44">
        <f>'C5C'!I226</f>
        <v>0</v>
      </c>
      <c r="J31" s="330" t="str">
        <f t="shared" si="3"/>
        <v/>
      </c>
      <c r="K31" s="144">
        <f>'C5C'!K226</f>
        <v>0</v>
      </c>
      <c r="L31" s="697"/>
    </row>
    <row r="32" spans="1:12" ht="12.75" customHeight="1" x14ac:dyDescent="0.25">
      <c r="A32" s="407" t="str">
        <f>'Org structure'!A10</f>
        <v>Vote 9 - [NAME OF VOTE 9]</v>
      </c>
      <c r="B32" s="419"/>
      <c r="C32" s="134">
        <f>'C5C'!C237</f>
        <v>0</v>
      </c>
      <c r="D32" s="258">
        <f>'C5C'!D237</f>
        <v>0</v>
      </c>
      <c r="E32" s="44">
        <f>'C5C'!E237</f>
        <v>0</v>
      </c>
      <c r="F32" s="44">
        <f>'C5C'!F237</f>
        <v>0</v>
      </c>
      <c r="G32" s="44">
        <f>'C5C'!G237</f>
        <v>0</v>
      </c>
      <c r="H32" s="44">
        <f>'C5C'!H237</f>
        <v>0</v>
      </c>
      <c r="I32" s="44">
        <f>'C5C'!I237</f>
        <v>0</v>
      </c>
      <c r="J32" s="330" t="str">
        <f t="shared" si="3"/>
        <v/>
      </c>
      <c r="K32" s="144">
        <f>'C5C'!K237</f>
        <v>0</v>
      </c>
      <c r="L32" s="697"/>
    </row>
    <row r="33" spans="1:12" ht="12.75" customHeight="1" x14ac:dyDescent="0.25">
      <c r="A33" s="407" t="str">
        <f>'Org structure'!A11</f>
        <v>Vote 10 - [NAME OF VOTE 10]</v>
      </c>
      <c r="B33" s="419"/>
      <c r="C33" s="134">
        <f>'C5C'!C248</f>
        <v>0</v>
      </c>
      <c r="D33" s="258">
        <f>'C5C'!D248</f>
        <v>0</v>
      </c>
      <c r="E33" s="44">
        <f>'C5C'!E248</f>
        <v>0</v>
      </c>
      <c r="F33" s="44">
        <f>'C5C'!F248</f>
        <v>0</v>
      </c>
      <c r="G33" s="44">
        <f>'C5C'!G248</f>
        <v>0</v>
      </c>
      <c r="H33" s="44">
        <f>'C5C'!H248</f>
        <v>0</v>
      </c>
      <c r="I33" s="44">
        <f>'C5C'!I248</f>
        <v>0</v>
      </c>
      <c r="J33" s="330" t="str">
        <f t="shared" si="3"/>
        <v/>
      </c>
      <c r="K33" s="144">
        <f>'C5C'!K248</f>
        <v>0</v>
      </c>
      <c r="L33" s="697"/>
    </row>
    <row r="34" spans="1:12" ht="12.75" customHeight="1" x14ac:dyDescent="0.25">
      <c r="A34" s="407" t="str">
        <f>'Org structure'!A12</f>
        <v>Vote 11 - [NAME OF VOTE 11]</v>
      </c>
      <c r="B34" s="419"/>
      <c r="C34" s="134">
        <f>'C5C'!C259</f>
        <v>0</v>
      </c>
      <c r="D34" s="258">
        <f>'C5C'!D259</f>
        <v>0</v>
      </c>
      <c r="E34" s="44">
        <f>'C5C'!E259</f>
        <v>0</v>
      </c>
      <c r="F34" s="44">
        <f>'C5C'!F259</f>
        <v>0</v>
      </c>
      <c r="G34" s="44">
        <f>'C5C'!G259</f>
        <v>0</v>
      </c>
      <c r="H34" s="44">
        <f>'C5C'!H259</f>
        <v>0</v>
      </c>
      <c r="I34" s="44">
        <f>'C5C'!I259</f>
        <v>0</v>
      </c>
      <c r="J34" s="330" t="str">
        <f t="shared" si="3"/>
        <v/>
      </c>
      <c r="K34" s="144">
        <f>'C5C'!K259</f>
        <v>0</v>
      </c>
      <c r="L34" s="697"/>
    </row>
    <row r="35" spans="1:12" ht="12.75" customHeight="1" x14ac:dyDescent="0.25">
      <c r="A35" s="407" t="str">
        <f>'Org structure'!A13</f>
        <v>Vote 12 - [NAME OF VOTE 12]</v>
      </c>
      <c r="B35" s="419"/>
      <c r="C35" s="134">
        <f>'C5C'!C270</f>
        <v>0</v>
      </c>
      <c r="D35" s="258">
        <f>'C5C'!D270</f>
        <v>0</v>
      </c>
      <c r="E35" s="44">
        <f>'C5C'!E270</f>
        <v>0</v>
      </c>
      <c r="F35" s="44">
        <f>'C5C'!F270</f>
        <v>0</v>
      </c>
      <c r="G35" s="44">
        <f>'C5C'!G270</f>
        <v>0</v>
      </c>
      <c r="H35" s="44">
        <f>'C5C'!H270</f>
        <v>0</v>
      </c>
      <c r="I35" s="44">
        <f>'C5C'!I270</f>
        <v>0</v>
      </c>
      <c r="J35" s="330" t="str">
        <f t="shared" si="3"/>
        <v/>
      </c>
      <c r="K35" s="144">
        <f>'C5C'!K270</f>
        <v>0</v>
      </c>
      <c r="L35" s="697"/>
    </row>
    <row r="36" spans="1:12" ht="12.75" customHeight="1" x14ac:dyDescent="0.25">
      <c r="A36" s="407" t="str">
        <f>'Org structure'!A14</f>
        <v>Vote 13 - [NAME OF VOTE 13]</v>
      </c>
      <c r="B36" s="419"/>
      <c r="C36" s="134">
        <f>'C5C'!C281</f>
        <v>0</v>
      </c>
      <c r="D36" s="258">
        <f>'C5C'!D281</f>
        <v>0</v>
      </c>
      <c r="E36" s="44">
        <f>'C5C'!E281</f>
        <v>0</v>
      </c>
      <c r="F36" s="44">
        <f>'C5C'!F281</f>
        <v>0</v>
      </c>
      <c r="G36" s="44">
        <f>'C5C'!G281</f>
        <v>0</v>
      </c>
      <c r="H36" s="44">
        <f>'C5C'!H281</f>
        <v>0</v>
      </c>
      <c r="I36" s="44">
        <f>'C5C'!I281</f>
        <v>0</v>
      </c>
      <c r="J36" s="330" t="str">
        <f t="shared" si="3"/>
        <v/>
      </c>
      <c r="K36" s="144">
        <f>'C5C'!K281</f>
        <v>0</v>
      </c>
      <c r="L36" s="697"/>
    </row>
    <row r="37" spans="1:12" ht="12.75" customHeight="1" x14ac:dyDescent="0.25">
      <c r="A37" s="407" t="str">
        <f>'Org structure'!A15</f>
        <v>Vote 14 - [NAME OF VOTE 14]</v>
      </c>
      <c r="B37" s="419"/>
      <c r="C37" s="134">
        <f>'C5C'!C292</f>
        <v>0</v>
      </c>
      <c r="D37" s="258">
        <f>'C5C'!D292</f>
        <v>0</v>
      </c>
      <c r="E37" s="44">
        <f>'C5C'!E292</f>
        <v>0</v>
      </c>
      <c r="F37" s="44">
        <f>'C5C'!F292</f>
        <v>0</v>
      </c>
      <c r="G37" s="44">
        <f>'C5C'!G292</f>
        <v>0</v>
      </c>
      <c r="H37" s="44">
        <f>'C5C'!H292</f>
        <v>0</v>
      </c>
      <c r="I37" s="44">
        <f>'C5C'!I292</f>
        <v>0</v>
      </c>
      <c r="J37" s="330" t="str">
        <f t="shared" si="3"/>
        <v/>
      </c>
      <c r="K37" s="144">
        <f>'C5C'!K292</f>
        <v>0</v>
      </c>
      <c r="L37" s="697"/>
    </row>
    <row r="38" spans="1:12" ht="12.75" customHeight="1" x14ac:dyDescent="0.25">
      <c r="A38" s="407" t="str">
        <f>'Org structure'!A16</f>
        <v>Vote 15 - [NAME OF VOTE 15]</v>
      </c>
      <c r="B38" s="419"/>
      <c r="C38" s="134">
        <f>'C5C'!C303</f>
        <v>0</v>
      </c>
      <c r="D38" s="258">
        <f>'C5C'!D303</f>
        <v>0</v>
      </c>
      <c r="E38" s="44">
        <f>'C5C'!E303</f>
        <v>0</v>
      </c>
      <c r="F38" s="44">
        <f>'C5C'!F303</f>
        <v>0</v>
      </c>
      <c r="G38" s="44">
        <f>'C5C'!G303</f>
        <v>0</v>
      </c>
      <c r="H38" s="44">
        <f>'C5C'!H303</f>
        <v>0</v>
      </c>
      <c r="I38" s="44">
        <f>'C5C'!I303</f>
        <v>0</v>
      </c>
      <c r="J38" s="330" t="str">
        <f t="shared" si="3"/>
        <v/>
      </c>
      <c r="K38" s="144">
        <f>'C5C'!K303</f>
        <v>0</v>
      </c>
      <c r="L38" s="697"/>
    </row>
    <row r="39" spans="1:12" ht="12.75" customHeight="1" x14ac:dyDescent="0.25">
      <c r="A39" s="350" t="s">
        <v>760</v>
      </c>
      <c r="B39" s="520">
        <v>4</v>
      </c>
      <c r="C39" s="261">
        <f t="shared" ref="C39:I39" si="4">SUM(C24:C38)</f>
        <v>0</v>
      </c>
      <c r="D39" s="262">
        <f t="shared" si="4"/>
        <v>71724000</v>
      </c>
      <c r="E39" s="161">
        <f t="shared" si="4"/>
        <v>112824000</v>
      </c>
      <c r="F39" s="161">
        <f t="shared" si="4"/>
        <v>974577.73</v>
      </c>
      <c r="G39" s="161">
        <f t="shared" si="4"/>
        <v>13385440.289999982</v>
      </c>
      <c r="H39" s="161">
        <f t="shared" si="4"/>
        <v>56412000</v>
      </c>
      <c r="I39" s="73">
        <f t="shared" si="4"/>
        <v>-43026559.710000016</v>
      </c>
      <c r="J39" s="331">
        <f t="shared" si="3"/>
        <v>-0.76271998351414616</v>
      </c>
      <c r="K39" s="263">
        <f>SUM(K24:K38)</f>
        <v>112824000</v>
      </c>
      <c r="L39" s="100"/>
    </row>
    <row r="40" spans="1:12" ht="12.75" customHeight="1" x14ac:dyDescent="0.25">
      <c r="A40" s="92" t="s">
        <v>761</v>
      </c>
      <c r="B40" s="422"/>
      <c r="C40" s="243">
        <f t="shared" ref="C40:I40" si="5">C39+C21</f>
        <v>0</v>
      </c>
      <c r="D40" s="260">
        <f t="shared" si="5"/>
        <v>580891581</v>
      </c>
      <c r="E40" s="73">
        <f t="shared" si="5"/>
        <v>621991581</v>
      </c>
      <c r="F40" s="73">
        <f t="shared" si="5"/>
        <v>66421825.969999991</v>
      </c>
      <c r="G40" s="73">
        <f t="shared" si="5"/>
        <v>246936010.84999999</v>
      </c>
      <c r="H40" s="73">
        <f t="shared" si="5"/>
        <v>310995790.5</v>
      </c>
      <c r="I40" s="73">
        <f t="shared" si="5"/>
        <v>-64059779.650000028</v>
      </c>
      <c r="J40" s="331">
        <f>IF(I40=0,"",I40/H40)</f>
        <v>-0.20598278692778649</v>
      </c>
      <c r="K40" s="145">
        <f>K39+K21</f>
        <v>621991581</v>
      </c>
      <c r="L40" s="100"/>
    </row>
    <row r="41" spans="1:12" ht="5.0999999999999996" customHeight="1" x14ac:dyDescent="0.25">
      <c r="A41" s="42"/>
      <c r="B41" s="419"/>
      <c r="C41" s="134"/>
      <c r="D41" s="258"/>
      <c r="E41" s="44"/>
      <c r="F41" s="44"/>
      <c r="G41" s="44"/>
      <c r="H41" s="44"/>
      <c r="I41" s="44"/>
      <c r="J41" s="330"/>
      <c r="K41" s="144"/>
      <c r="L41" s="100"/>
    </row>
    <row r="42" spans="1:12" ht="12.75" customHeight="1" x14ac:dyDescent="0.25">
      <c r="A42" s="35" t="s">
        <v>1214</v>
      </c>
      <c r="B42" s="419"/>
      <c r="C42" s="134"/>
      <c r="D42" s="258"/>
      <c r="E42" s="44"/>
      <c r="F42" s="44"/>
      <c r="G42" s="44"/>
      <c r="H42" s="44"/>
      <c r="I42" s="44"/>
      <c r="J42" s="330"/>
      <c r="K42" s="144"/>
      <c r="L42" s="100"/>
    </row>
    <row r="43" spans="1:12" ht="12.75" customHeight="1" x14ac:dyDescent="0.25">
      <c r="A43" s="414" t="s">
        <v>138</v>
      </c>
      <c r="B43" s="421"/>
      <c r="C43" s="641">
        <f t="shared" ref="C43:H43" si="6">SUM(C44:C46)</f>
        <v>0</v>
      </c>
      <c r="D43" s="669">
        <f t="shared" si="6"/>
        <v>32500000</v>
      </c>
      <c r="E43" s="637">
        <f t="shared" si="6"/>
        <v>33300000</v>
      </c>
      <c r="F43" s="637">
        <f t="shared" si="6"/>
        <v>131798.48000000001</v>
      </c>
      <c r="G43" s="637">
        <f t="shared" si="6"/>
        <v>1479932.09</v>
      </c>
      <c r="H43" s="637">
        <f t="shared" si="6"/>
        <v>16650000</v>
      </c>
      <c r="I43" s="44">
        <f t="shared" ref="I43:I62" si="7">G43-H43</f>
        <v>-15170067.91</v>
      </c>
      <c r="J43" s="330">
        <f>IF(I43=0,"",I43/H43)</f>
        <v>-0.91111518978978978</v>
      </c>
      <c r="K43" s="641">
        <f>SUM(K44:K46)</f>
        <v>33300000</v>
      </c>
      <c r="L43" s="100"/>
    </row>
    <row r="44" spans="1:12" ht="12.75" customHeight="1" x14ac:dyDescent="0.25">
      <c r="A44" s="416" t="s">
        <v>108</v>
      </c>
      <c r="B44" s="419"/>
      <c r="C44" s="735"/>
      <c r="D44" s="753">
        <v>5000000</v>
      </c>
      <c r="E44" s="733">
        <v>5000000</v>
      </c>
      <c r="F44" s="733"/>
      <c r="G44" s="733">
        <v>1142694.8500000001</v>
      </c>
      <c r="H44" s="733">
        <f>E44/12*6</f>
        <v>2500000</v>
      </c>
      <c r="I44" s="44">
        <f t="shared" si="7"/>
        <v>-1357305.15</v>
      </c>
      <c r="J44" s="330">
        <f t="shared" ref="J44:J63" si="8">IF(I44=0,"",I44/H44)</f>
        <v>-0.54292205999999998</v>
      </c>
      <c r="K44" s="735">
        <f>E44</f>
        <v>5000000</v>
      </c>
      <c r="L44" s="100"/>
    </row>
    <row r="45" spans="1:12" ht="12.75" customHeight="1" x14ac:dyDescent="0.25">
      <c r="A45" s="416" t="s">
        <v>1123</v>
      </c>
      <c r="B45" s="419"/>
      <c r="C45" s="754"/>
      <c r="D45" s="755">
        <v>27500000</v>
      </c>
      <c r="E45" s="756">
        <v>28300000</v>
      </c>
      <c r="F45" s="756">
        <v>131798.48000000001</v>
      </c>
      <c r="G45" s="756">
        <v>337237.24</v>
      </c>
      <c r="H45" s="756">
        <f>E45/12*6</f>
        <v>14150000</v>
      </c>
      <c r="I45" s="44">
        <f t="shared" si="7"/>
        <v>-13812762.76</v>
      </c>
      <c r="J45" s="330">
        <f t="shared" si="8"/>
        <v>-0.97616697950530029</v>
      </c>
      <c r="K45" s="754">
        <f>E45</f>
        <v>28300000</v>
      </c>
      <c r="L45" s="100"/>
    </row>
    <row r="46" spans="1:12" ht="12.75" customHeight="1" x14ac:dyDescent="0.25">
      <c r="A46" s="416" t="s">
        <v>1134</v>
      </c>
      <c r="B46" s="419"/>
      <c r="C46" s="735"/>
      <c r="D46" s="753"/>
      <c r="E46" s="733"/>
      <c r="F46" s="733"/>
      <c r="G46" s="733"/>
      <c r="H46" s="733"/>
      <c r="I46" s="44">
        <f t="shared" si="7"/>
        <v>0</v>
      </c>
      <c r="J46" s="330" t="str">
        <f t="shared" si="8"/>
        <v/>
      </c>
      <c r="K46" s="735"/>
      <c r="L46" s="100"/>
    </row>
    <row r="47" spans="1:12" ht="12.75" customHeight="1" x14ac:dyDescent="0.25">
      <c r="A47" s="414" t="s">
        <v>109</v>
      </c>
      <c r="B47" s="419"/>
      <c r="C47" s="641">
        <f t="shared" ref="C47:H47" si="9">SUM(C48:C52)</f>
        <v>0</v>
      </c>
      <c r="D47" s="669">
        <f t="shared" si="9"/>
        <v>324874092</v>
      </c>
      <c r="E47" s="637">
        <f t="shared" si="9"/>
        <v>334874092</v>
      </c>
      <c r="F47" s="637">
        <f t="shared" si="9"/>
        <v>5177720.4400000004</v>
      </c>
      <c r="G47" s="637">
        <f t="shared" si="9"/>
        <v>38040963.670000002</v>
      </c>
      <c r="H47" s="637">
        <f t="shared" si="9"/>
        <v>167437046</v>
      </c>
      <c r="I47" s="44">
        <f t="shared" si="7"/>
        <v>-129396082.33</v>
      </c>
      <c r="J47" s="330">
        <f t="shared" si="8"/>
        <v>-0.77280437884696074</v>
      </c>
      <c r="K47" s="641">
        <f>SUM(K48:K52)</f>
        <v>334874092</v>
      </c>
      <c r="L47" s="100"/>
    </row>
    <row r="48" spans="1:12" ht="12.75" customHeight="1" x14ac:dyDescent="0.25">
      <c r="A48" s="416" t="s">
        <v>110</v>
      </c>
      <c r="B48" s="419"/>
      <c r="C48" s="735"/>
      <c r="D48" s="753">
        <v>45972000</v>
      </c>
      <c r="E48" s="733">
        <v>55972000</v>
      </c>
      <c r="F48" s="733">
        <v>1313030.1400000001</v>
      </c>
      <c r="G48" s="733">
        <v>4667888.57</v>
      </c>
      <c r="H48" s="733">
        <f>E48/12*6</f>
        <v>27986000</v>
      </c>
      <c r="I48" s="44">
        <f t="shared" si="7"/>
        <v>-23318111.43</v>
      </c>
      <c r="J48" s="330">
        <f t="shared" si="8"/>
        <v>-0.83320629707711003</v>
      </c>
      <c r="K48" s="735">
        <f>E48</f>
        <v>55972000</v>
      </c>
      <c r="L48" s="100"/>
    </row>
    <row r="49" spans="1:12" ht="12.75" customHeight="1" x14ac:dyDescent="0.25">
      <c r="A49" s="416" t="s">
        <v>111</v>
      </c>
      <c r="B49" s="419"/>
      <c r="C49" s="735"/>
      <c r="D49" s="753"/>
      <c r="E49" s="733"/>
      <c r="F49" s="733">
        <v>21850</v>
      </c>
      <c r="G49" s="733">
        <v>29043.679999999935</v>
      </c>
      <c r="H49" s="733"/>
      <c r="I49" s="44">
        <f t="shared" si="7"/>
        <v>29043.679999999935</v>
      </c>
      <c r="J49" s="330" t="e">
        <f t="shared" si="8"/>
        <v>#DIV/0!</v>
      </c>
      <c r="K49" s="735"/>
      <c r="L49" s="100"/>
    </row>
    <row r="50" spans="1:12" ht="12.75" customHeight="1" x14ac:dyDescent="0.25">
      <c r="A50" s="416" t="s">
        <v>112</v>
      </c>
      <c r="B50" s="419"/>
      <c r="C50" s="735"/>
      <c r="D50" s="753"/>
      <c r="E50" s="733"/>
      <c r="F50" s="733"/>
      <c r="G50" s="733">
        <v>169552.05</v>
      </c>
      <c r="H50" s="733"/>
      <c r="I50" s="44">
        <f t="shared" si="7"/>
        <v>169552.05</v>
      </c>
      <c r="J50" s="330" t="e">
        <f t="shared" si="8"/>
        <v>#DIV/0!</v>
      </c>
      <c r="K50" s="735"/>
      <c r="L50" s="100"/>
    </row>
    <row r="51" spans="1:12" ht="12.75" customHeight="1" x14ac:dyDescent="0.25">
      <c r="A51" s="416" t="s">
        <v>711</v>
      </c>
      <c r="B51" s="419"/>
      <c r="C51" s="735"/>
      <c r="D51" s="753">
        <v>278902092</v>
      </c>
      <c r="E51" s="733">
        <v>278902092</v>
      </c>
      <c r="F51" s="733">
        <v>3842840.3000000003</v>
      </c>
      <c r="G51" s="733">
        <v>33174479.370000005</v>
      </c>
      <c r="H51" s="733">
        <f>E51/12*6</f>
        <v>139451046</v>
      </c>
      <c r="I51" s="44">
        <f t="shared" si="7"/>
        <v>-106276566.63</v>
      </c>
      <c r="J51" s="330">
        <f t="shared" si="8"/>
        <v>-0.76210662937587426</v>
      </c>
      <c r="K51" s="735">
        <f>E51</f>
        <v>278902092</v>
      </c>
      <c r="L51" s="100"/>
    </row>
    <row r="52" spans="1:12" ht="12.75" customHeight="1" x14ac:dyDescent="0.25">
      <c r="A52" s="416" t="s">
        <v>610</v>
      </c>
      <c r="B52" s="419"/>
      <c r="C52" s="754"/>
      <c r="D52" s="755"/>
      <c r="E52" s="756"/>
      <c r="F52" s="756"/>
      <c r="G52" s="756"/>
      <c r="H52" s="756"/>
      <c r="I52" s="44">
        <f t="shared" si="7"/>
        <v>0</v>
      </c>
      <c r="J52" s="330" t="str">
        <f t="shared" si="8"/>
        <v/>
      </c>
      <c r="K52" s="754"/>
      <c r="L52" s="100"/>
    </row>
    <row r="53" spans="1:12" ht="12.75" customHeight="1" x14ac:dyDescent="0.25">
      <c r="A53" s="414" t="s">
        <v>113</v>
      </c>
      <c r="B53" s="419"/>
      <c r="C53" s="641">
        <f t="shared" ref="C53:H53" si="10">SUM(C54:C56)</f>
        <v>0</v>
      </c>
      <c r="D53" s="669">
        <f t="shared" si="10"/>
        <v>104572064</v>
      </c>
      <c r="E53" s="637">
        <f t="shared" si="10"/>
        <v>114572064</v>
      </c>
      <c r="F53" s="637">
        <f t="shared" si="10"/>
        <v>42253399.509999998</v>
      </c>
      <c r="G53" s="637">
        <f t="shared" si="10"/>
        <v>122535454.17</v>
      </c>
      <c r="H53" s="637">
        <f t="shared" si="10"/>
        <v>57286032</v>
      </c>
      <c r="I53" s="44">
        <f t="shared" si="7"/>
        <v>65249422.170000002</v>
      </c>
      <c r="J53" s="330">
        <f t="shared" si="8"/>
        <v>1.1390110275049248</v>
      </c>
      <c r="K53" s="641">
        <f>SUM(K54:K56)</f>
        <v>114572064</v>
      </c>
      <c r="L53" s="100"/>
    </row>
    <row r="54" spans="1:12" ht="12.75" customHeight="1" x14ac:dyDescent="0.25">
      <c r="A54" s="416" t="s">
        <v>114</v>
      </c>
      <c r="B54" s="419"/>
      <c r="C54" s="735"/>
      <c r="D54" s="753">
        <v>13936064</v>
      </c>
      <c r="E54" s="733">
        <v>13936064</v>
      </c>
      <c r="F54" s="733"/>
      <c r="G54" s="733"/>
      <c r="H54" s="733">
        <f t="shared" ref="H54:H55" si="11">E54/12*6</f>
        <v>6968032</v>
      </c>
      <c r="I54" s="44">
        <f t="shared" si="7"/>
        <v>-6968032</v>
      </c>
      <c r="J54" s="330">
        <f t="shared" si="8"/>
        <v>-1</v>
      </c>
      <c r="K54" s="735">
        <f t="shared" ref="K54:K55" si="12">E54</f>
        <v>13936064</v>
      </c>
      <c r="L54" s="100"/>
    </row>
    <row r="55" spans="1:12" ht="12.75" customHeight="1" x14ac:dyDescent="0.25">
      <c r="A55" s="416" t="s">
        <v>115</v>
      </c>
      <c r="B55" s="419"/>
      <c r="C55" s="735"/>
      <c r="D55" s="753">
        <v>90636000</v>
      </c>
      <c r="E55" s="733">
        <v>100636000</v>
      </c>
      <c r="F55" s="733">
        <v>42253399.509999998</v>
      </c>
      <c r="G55" s="733">
        <v>122535454.17</v>
      </c>
      <c r="H55" s="733">
        <f t="shared" si="11"/>
        <v>50318000</v>
      </c>
      <c r="I55" s="44">
        <f t="shared" si="7"/>
        <v>72217454.170000002</v>
      </c>
      <c r="J55" s="330">
        <f t="shared" si="8"/>
        <v>1.4352210773480663</v>
      </c>
      <c r="K55" s="735">
        <f t="shared" si="12"/>
        <v>100636000</v>
      </c>
      <c r="L55" s="100"/>
    </row>
    <row r="56" spans="1:12" ht="12.75" customHeight="1" x14ac:dyDescent="0.25">
      <c r="A56" s="416" t="s">
        <v>116</v>
      </c>
      <c r="B56" s="419"/>
      <c r="C56" s="735"/>
      <c r="D56" s="753"/>
      <c r="E56" s="733"/>
      <c r="F56" s="733"/>
      <c r="G56" s="733"/>
      <c r="H56" s="733"/>
      <c r="I56" s="44">
        <f t="shared" si="7"/>
        <v>0</v>
      </c>
      <c r="J56" s="330" t="str">
        <f t="shared" si="8"/>
        <v/>
      </c>
      <c r="K56" s="735"/>
      <c r="L56" s="100"/>
    </row>
    <row r="57" spans="1:12" ht="12.75" customHeight="1" x14ac:dyDescent="0.25">
      <c r="A57" s="414" t="s">
        <v>117</v>
      </c>
      <c r="B57" s="419"/>
      <c r="C57" s="641">
        <f t="shared" ref="C57:H57" si="13">SUM(C58:C61)</f>
        <v>0</v>
      </c>
      <c r="D57" s="669">
        <f t="shared" si="13"/>
        <v>103769000</v>
      </c>
      <c r="E57" s="637">
        <f t="shared" si="13"/>
        <v>136745425</v>
      </c>
      <c r="F57" s="637">
        <f t="shared" si="13"/>
        <v>18834598.289999999</v>
      </c>
      <c r="G57" s="637">
        <f t="shared" si="13"/>
        <v>83635774.900000006</v>
      </c>
      <c r="H57" s="637">
        <f t="shared" si="13"/>
        <v>68372712.5</v>
      </c>
      <c r="I57" s="44">
        <f t="shared" si="7"/>
        <v>15263062.400000006</v>
      </c>
      <c r="J57" s="330">
        <f t="shared" si="8"/>
        <v>0.22323324381784629</v>
      </c>
      <c r="K57" s="641">
        <f>SUM(K58:K61)</f>
        <v>136745425</v>
      </c>
      <c r="L57" s="100"/>
    </row>
    <row r="58" spans="1:12" ht="12.75" customHeight="1" x14ac:dyDescent="0.25">
      <c r="A58" s="416" t="s">
        <v>1191</v>
      </c>
      <c r="B58" s="419"/>
      <c r="C58" s="735"/>
      <c r="D58" s="753">
        <v>12500000</v>
      </c>
      <c r="E58" s="733">
        <v>22800000</v>
      </c>
      <c r="F58" s="733">
        <v>626620</v>
      </c>
      <c r="G58" s="733">
        <v>978667.06</v>
      </c>
      <c r="H58" s="733">
        <f t="shared" ref="H58:H62" si="14">E58/12*6</f>
        <v>11400000</v>
      </c>
      <c r="I58" s="44">
        <f t="shared" si="7"/>
        <v>-10421332.939999999</v>
      </c>
      <c r="J58" s="330">
        <f t="shared" si="8"/>
        <v>-0.91415201228070175</v>
      </c>
      <c r="K58" s="735">
        <f t="shared" ref="K58:K62" si="15">E58</f>
        <v>22800000</v>
      </c>
      <c r="L58" s="100"/>
    </row>
    <row r="59" spans="1:12" ht="12.75" customHeight="1" x14ac:dyDescent="0.25">
      <c r="A59" s="416" t="s">
        <v>1195</v>
      </c>
      <c r="B59" s="419"/>
      <c r="C59" s="735"/>
      <c r="D59" s="753">
        <v>59255000</v>
      </c>
      <c r="E59" s="733">
        <v>71931425</v>
      </c>
      <c r="F59" s="733">
        <v>11073454.039999999</v>
      </c>
      <c r="G59" s="733">
        <v>36848580.400000006</v>
      </c>
      <c r="H59" s="733">
        <f t="shared" si="14"/>
        <v>35965712.5</v>
      </c>
      <c r="I59" s="44">
        <f t="shared" si="7"/>
        <v>882867.90000000596</v>
      </c>
      <c r="J59" s="330">
        <f t="shared" si="8"/>
        <v>2.4547488111072623E-2</v>
      </c>
      <c r="K59" s="735">
        <f t="shared" si="15"/>
        <v>71931425</v>
      </c>
      <c r="L59" s="100"/>
    </row>
    <row r="60" spans="1:12" ht="12.75" customHeight="1" x14ac:dyDescent="0.25">
      <c r="A60" s="416" t="s">
        <v>118</v>
      </c>
      <c r="B60" s="419"/>
      <c r="C60" s="754"/>
      <c r="D60" s="755">
        <v>27514000</v>
      </c>
      <c r="E60" s="756">
        <v>27514000</v>
      </c>
      <c r="F60" s="756">
        <v>7134524.25</v>
      </c>
      <c r="G60" s="756">
        <v>38159154.429999992</v>
      </c>
      <c r="H60" s="756">
        <f t="shared" si="14"/>
        <v>13757000</v>
      </c>
      <c r="I60" s="44">
        <f t="shared" si="7"/>
        <v>24402154.429999992</v>
      </c>
      <c r="J60" s="330">
        <f t="shared" si="8"/>
        <v>1.7737991153594528</v>
      </c>
      <c r="K60" s="754">
        <f t="shared" si="15"/>
        <v>27514000</v>
      </c>
      <c r="L60" s="100"/>
    </row>
    <row r="61" spans="1:12" ht="12.75" customHeight="1" x14ac:dyDescent="0.25">
      <c r="A61" s="416" t="s">
        <v>119</v>
      </c>
      <c r="B61" s="419"/>
      <c r="C61" s="735"/>
      <c r="D61" s="753">
        <v>4500000</v>
      </c>
      <c r="E61" s="733">
        <v>14500000</v>
      </c>
      <c r="F61" s="733"/>
      <c r="G61" s="733">
        <v>7649373.0099999998</v>
      </c>
      <c r="H61" s="733">
        <f t="shared" si="14"/>
        <v>7250000</v>
      </c>
      <c r="I61" s="44">
        <f t="shared" si="7"/>
        <v>399373.00999999978</v>
      </c>
      <c r="J61" s="330">
        <f t="shared" si="8"/>
        <v>5.5085932413793073E-2</v>
      </c>
      <c r="K61" s="735">
        <f t="shared" si="15"/>
        <v>14500000</v>
      </c>
      <c r="L61" s="100"/>
    </row>
    <row r="62" spans="1:12" ht="12.75" customHeight="1" x14ac:dyDescent="0.25">
      <c r="A62" s="414" t="s">
        <v>718</v>
      </c>
      <c r="B62" s="419"/>
      <c r="C62" s="735"/>
      <c r="D62" s="753">
        <v>2500000</v>
      </c>
      <c r="E62" s="733">
        <v>2500000</v>
      </c>
      <c r="F62" s="733">
        <v>24309.25</v>
      </c>
      <c r="G62" s="733">
        <v>1243886.0199999821</v>
      </c>
      <c r="H62" s="733">
        <f t="shared" si="14"/>
        <v>1250000</v>
      </c>
      <c r="I62" s="44">
        <f t="shared" si="7"/>
        <v>-6113.9800000179093</v>
      </c>
      <c r="J62" s="330">
        <f t="shared" si="8"/>
        <v>-4.8911840000143278E-3</v>
      </c>
      <c r="K62" s="735">
        <f t="shared" si="15"/>
        <v>2500000</v>
      </c>
      <c r="L62" s="100"/>
    </row>
    <row r="63" spans="1:12" ht="12.75" customHeight="1" x14ac:dyDescent="0.25">
      <c r="A63" s="537" t="s">
        <v>1213</v>
      </c>
      <c r="B63" s="539">
        <v>3</v>
      </c>
      <c r="C63" s="540">
        <f>C43+C47+C53+C57+C62</f>
        <v>0</v>
      </c>
      <c r="D63" s="541">
        <f t="shared" ref="D63:I63" si="16">D43+D47+D53+D57+D62</f>
        <v>568215156</v>
      </c>
      <c r="E63" s="478">
        <f t="shared" si="16"/>
        <v>621991581</v>
      </c>
      <c r="F63" s="478">
        <f t="shared" si="16"/>
        <v>66421825.969999999</v>
      </c>
      <c r="G63" s="478">
        <f t="shared" si="16"/>
        <v>246936010.84999999</v>
      </c>
      <c r="H63" s="478">
        <f t="shared" si="16"/>
        <v>310995790.5</v>
      </c>
      <c r="I63" s="478">
        <f t="shared" si="16"/>
        <v>-64059779.650000021</v>
      </c>
      <c r="J63" s="542">
        <f t="shared" si="8"/>
        <v>-0.20598278692778649</v>
      </c>
      <c r="K63" s="543">
        <f>K43+K47+K53+K57+K62</f>
        <v>621991581</v>
      </c>
      <c r="L63" s="100"/>
    </row>
    <row r="64" spans="1:12" ht="5.0999999999999996" customHeight="1" x14ac:dyDescent="0.25">
      <c r="A64" s="41"/>
      <c r="B64" s="169"/>
      <c r="C64" s="134"/>
      <c r="D64" s="258"/>
      <c r="E64" s="44"/>
      <c r="F64" s="44"/>
      <c r="G64" s="44"/>
      <c r="H64" s="44"/>
      <c r="I64" s="44"/>
      <c r="J64" s="330"/>
      <c r="K64" s="144"/>
      <c r="L64" s="100"/>
    </row>
    <row r="65" spans="1:12" ht="12.75" customHeight="1" x14ac:dyDescent="0.25">
      <c r="A65" s="35" t="s">
        <v>471</v>
      </c>
      <c r="B65" s="169"/>
      <c r="C65" s="134"/>
      <c r="D65" s="258"/>
      <c r="E65" s="44"/>
      <c r="F65" s="44"/>
      <c r="G65" s="44"/>
      <c r="H65" s="44"/>
      <c r="I65" s="44"/>
      <c r="J65" s="330"/>
      <c r="K65" s="144"/>
      <c r="L65" s="100"/>
    </row>
    <row r="66" spans="1:12" ht="12.75" customHeight="1" x14ac:dyDescent="0.25">
      <c r="A66" s="107" t="s">
        <v>444</v>
      </c>
      <c r="B66" s="169"/>
      <c r="C66" s="748"/>
      <c r="D66" s="753">
        <v>255267424.99999985</v>
      </c>
      <c r="E66" s="733">
        <v>255267424.99999985</v>
      </c>
      <c r="F66" s="733">
        <v>49674796.569999993</v>
      </c>
      <c r="G66" s="733">
        <v>191715484.89999998</v>
      </c>
      <c r="H66" s="733">
        <f t="shared" ref="H66:H67" si="17">E66/12*6</f>
        <v>127633712.49999991</v>
      </c>
      <c r="I66" s="44">
        <f t="shared" ref="I66:I74" si="18">G66-H66</f>
        <v>64081772.400000066</v>
      </c>
      <c r="J66" s="330">
        <f t="shared" ref="J66:J74" si="19">IF(I66=0,"",I66/H66)</f>
        <v>0.50207559699401605</v>
      </c>
      <c r="K66" s="735">
        <f t="shared" ref="K66:K67" si="20">E66</f>
        <v>255267424.99999985</v>
      </c>
      <c r="L66" s="100"/>
    </row>
    <row r="67" spans="1:12" ht="12.75" customHeight="1" x14ac:dyDescent="0.25">
      <c r="A67" s="107" t="s">
        <v>603</v>
      </c>
      <c r="B67" s="169"/>
      <c r="C67" s="748"/>
      <c r="D67" s="753">
        <v>270624156</v>
      </c>
      <c r="E67" s="733">
        <v>270624156</v>
      </c>
      <c r="F67" s="733">
        <v>4084261.22</v>
      </c>
      <c r="G67" s="733">
        <v>32741347.660000004</v>
      </c>
      <c r="H67" s="733">
        <f t="shared" si="17"/>
        <v>135312078</v>
      </c>
      <c r="I67" s="44">
        <f t="shared" si="18"/>
        <v>-102570730.34</v>
      </c>
      <c r="J67" s="330">
        <f t="shared" si="19"/>
        <v>-0.75803085619600052</v>
      </c>
      <c r="K67" s="735">
        <f t="shared" si="20"/>
        <v>270624156</v>
      </c>
      <c r="L67" s="100"/>
    </row>
    <row r="68" spans="1:12" ht="12.75" customHeight="1" x14ac:dyDescent="0.25">
      <c r="A68" s="107" t="s">
        <v>604</v>
      </c>
      <c r="B68" s="169"/>
      <c r="C68" s="748"/>
      <c r="D68" s="753"/>
      <c r="E68" s="733"/>
      <c r="F68" s="733"/>
      <c r="G68" s="733"/>
      <c r="H68" s="733"/>
      <c r="I68" s="44">
        <f t="shared" si="18"/>
        <v>0</v>
      </c>
      <c r="J68" s="330" t="str">
        <f t="shared" si="19"/>
        <v/>
      </c>
      <c r="K68" s="735"/>
      <c r="L68" s="100"/>
    </row>
    <row r="69" spans="1:12" ht="43.15" customHeight="1" x14ac:dyDescent="0.25">
      <c r="A69" s="991" t="str">
        <f>'C4-FinPerf RE'!A40</f>
        <v>Transfers and subsidies - capital (monetary allocations) (National / Provincial Departmental Agencies, Households, Non-profit Institutions, Private Enterprises, Public Corporatons, Higher Educational Institutions)</v>
      </c>
      <c r="B69" s="248"/>
      <c r="C69" s="749"/>
      <c r="D69" s="757"/>
      <c r="E69" s="751"/>
      <c r="F69" s="751"/>
      <c r="G69" s="751"/>
      <c r="H69" s="751"/>
      <c r="I69" s="99">
        <f t="shared" si="18"/>
        <v>0</v>
      </c>
      <c r="J69" s="335" t="str">
        <f t="shared" si="19"/>
        <v/>
      </c>
      <c r="K69" s="752"/>
      <c r="L69" s="100"/>
    </row>
    <row r="70" spans="1:12" ht="12.75" customHeight="1" x14ac:dyDescent="0.25">
      <c r="A70" s="692" t="s">
        <v>959</v>
      </c>
      <c r="B70" s="169"/>
      <c r="C70" s="109">
        <f t="shared" ref="C70:H70" si="21">SUM(C66:C69)</f>
        <v>0</v>
      </c>
      <c r="D70" s="259">
        <f t="shared" si="21"/>
        <v>525891580.99999988</v>
      </c>
      <c r="E70" s="50">
        <f t="shared" si="21"/>
        <v>525891580.99999988</v>
      </c>
      <c r="F70" s="50">
        <f t="shared" si="21"/>
        <v>53759057.789999992</v>
      </c>
      <c r="G70" s="50">
        <f t="shared" si="21"/>
        <v>224456832.55999997</v>
      </c>
      <c r="H70" s="50">
        <f t="shared" si="21"/>
        <v>262945790.49999991</v>
      </c>
      <c r="I70" s="50">
        <f t="shared" si="18"/>
        <v>-38488957.939999938</v>
      </c>
      <c r="J70" s="146">
        <f t="shared" si="19"/>
        <v>-0.14637601867218311</v>
      </c>
      <c r="K70" s="50">
        <f>SUM(K66:K69)</f>
        <v>525891580.99999988</v>
      </c>
      <c r="L70" s="698"/>
    </row>
    <row r="71" spans="1:12" ht="0.95" customHeight="1" x14ac:dyDescent="0.25">
      <c r="A71" s="106"/>
      <c r="B71" s="169"/>
      <c r="C71" s="648"/>
      <c r="D71" s="670"/>
      <c r="E71" s="408"/>
      <c r="F71" s="408"/>
      <c r="G71" s="408"/>
      <c r="H71" s="408"/>
      <c r="I71" s="408"/>
      <c r="J71" s="947"/>
      <c r="K71" s="642"/>
      <c r="L71" s="100"/>
    </row>
    <row r="72" spans="1:12" ht="12.75" customHeight="1" x14ac:dyDescent="0.25">
      <c r="A72" s="106" t="s">
        <v>779</v>
      </c>
      <c r="B72" s="169">
        <v>6</v>
      </c>
      <c r="C72" s="748"/>
      <c r="D72" s="753"/>
      <c r="E72" s="733"/>
      <c r="F72" s="733"/>
      <c r="G72" s="733"/>
      <c r="H72" s="733"/>
      <c r="I72" s="44">
        <f t="shared" si="18"/>
        <v>0</v>
      </c>
      <c r="J72" s="330" t="str">
        <f t="shared" si="19"/>
        <v/>
      </c>
      <c r="K72" s="735"/>
      <c r="L72" s="100"/>
    </row>
    <row r="73" spans="1:12" ht="12.75" customHeight="1" x14ac:dyDescent="0.25">
      <c r="A73" s="106" t="s">
        <v>472</v>
      </c>
      <c r="B73" s="248"/>
      <c r="C73" s="749"/>
      <c r="D73" s="757">
        <v>55000000</v>
      </c>
      <c r="E73" s="751">
        <v>96100000</v>
      </c>
      <c r="F73" s="751">
        <v>12662768.18</v>
      </c>
      <c r="G73" s="751">
        <v>22479178.289999999</v>
      </c>
      <c r="H73" s="751">
        <f>E73/12*6</f>
        <v>48050000</v>
      </c>
      <c r="I73" s="99">
        <f t="shared" si="18"/>
        <v>-25570821.710000001</v>
      </c>
      <c r="J73" s="335">
        <f t="shared" si="19"/>
        <v>-0.53217110738813733</v>
      </c>
      <c r="K73" s="752">
        <f>E73</f>
        <v>96100000</v>
      </c>
      <c r="L73" s="100"/>
    </row>
    <row r="74" spans="1:12" ht="12.75" customHeight="1" x14ac:dyDescent="0.25">
      <c r="A74" s="538" t="s">
        <v>892</v>
      </c>
      <c r="B74" s="119"/>
      <c r="C74" s="244">
        <f t="shared" ref="C74:H74" si="22">+C70+C72+C73</f>
        <v>0</v>
      </c>
      <c r="D74" s="265">
        <f t="shared" si="22"/>
        <v>580891580.99999988</v>
      </c>
      <c r="E74" s="76">
        <f t="shared" si="22"/>
        <v>621991580.99999988</v>
      </c>
      <c r="F74" s="76">
        <f t="shared" si="22"/>
        <v>66421825.969999991</v>
      </c>
      <c r="G74" s="76">
        <f t="shared" si="22"/>
        <v>246936010.84999996</v>
      </c>
      <c r="H74" s="76">
        <f t="shared" si="22"/>
        <v>310995790.49999988</v>
      </c>
      <c r="I74" s="76">
        <f t="shared" si="18"/>
        <v>-64059779.649999917</v>
      </c>
      <c r="J74" s="333">
        <f t="shared" si="19"/>
        <v>-0.20598278692778621</v>
      </c>
      <c r="K74" s="234">
        <f>+K70+K72+K73</f>
        <v>621991580.99999988</v>
      </c>
      <c r="L74" s="100"/>
    </row>
    <row r="75" spans="1:12" ht="11.25" customHeight="1" x14ac:dyDescent="0.25">
      <c r="A75" s="57" t="str">
        <f>head27a</f>
        <v>References</v>
      </c>
      <c r="B75" s="64"/>
      <c r="C75" s="79"/>
      <c r="D75" s="79"/>
      <c r="E75" s="79"/>
      <c r="F75" s="79"/>
      <c r="G75" s="79"/>
      <c r="H75" s="79"/>
      <c r="I75" s="79"/>
      <c r="J75" s="79"/>
      <c r="K75" s="79"/>
    </row>
    <row r="76" spans="1:12" ht="12" customHeight="1" x14ac:dyDescent="0.25">
      <c r="A76" s="584" t="s">
        <v>144</v>
      </c>
      <c r="B76" s="64"/>
      <c r="C76" s="79"/>
      <c r="D76" s="79"/>
      <c r="E76" s="79"/>
      <c r="F76" s="79"/>
      <c r="G76" s="79"/>
      <c r="H76" s="79"/>
      <c r="I76" s="79"/>
      <c r="J76" s="79"/>
      <c r="K76" s="79"/>
    </row>
    <row r="77" spans="1:12" ht="12" customHeight="1" x14ac:dyDescent="0.25">
      <c r="A77" s="1054" t="s">
        <v>143</v>
      </c>
      <c r="B77" s="1054"/>
      <c r="C77" s="1054"/>
      <c r="D77" s="1054"/>
      <c r="E77" s="1054"/>
      <c r="F77" s="1054"/>
      <c r="G77" s="1054"/>
      <c r="H77" s="1054"/>
      <c r="I77" s="1054"/>
      <c r="J77" s="1054"/>
      <c r="K77" s="1054"/>
    </row>
    <row r="78" spans="1:12" ht="12" customHeight="1" x14ac:dyDescent="0.25">
      <c r="A78" s="1054" t="s">
        <v>1215</v>
      </c>
      <c r="B78" s="1054"/>
      <c r="C78" s="1054"/>
      <c r="D78" s="1054"/>
      <c r="E78" s="1054"/>
      <c r="F78" s="1054"/>
      <c r="G78" s="1054"/>
      <c r="H78" s="1054"/>
      <c r="I78" s="1054"/>
      <c r="J78" s="1054"/>
      <c r="K78" s="1054"/>
    </row>
    <row r="79" spans="1:12" ht="12" customHeight="1" x14ac:dyDescent="0.25">
      <c r="A79" s="1055" t="s">
        <v>524</v>
      </c>
      <c r="B79" s="1054"/>
      <c r="C79" s="1054"/>
      <c r="D79" s="1054"/>
      <c r="E79" s="1054"/>
      <c r="F79" s="1054"/>
      <c r="G79" s="1054"/>
      <c r="H79" s="1054"/>
      <c r="I79" s="1054"/>
      <c r="J79" s="1054"/>
      <c r="K79" s="1054"/>
    </row>
    <row r="80" spans="1:12" ht="12" customHeight="1" x14ac:dyDescent="0.25">
      <c r="A80" s="584"/>
      <c r="B80" s="23"/>
      <c r="C80" s="23"/>
      <c r="D80" s="23"/>
      <c r="E80" s="23"/>
      <c r="F80" s="23"/>
      <c r="G80" s="23"/>
      <c r="H80" s="23"/>
      <c r="I80" s="23"/>
      <c r="J80" s="23"/>
      <c r="K80" s="23"/>
    </row>
    <row r="81" spans="1:11" ht="12" customHeight="1" x14ac:dyDescent="0.25">
      <c r="A81" s="584" t="s">
        <v>71</v>
      </c>
      <c r="B81" s="23"/>
      <c r="C81" s="23"/>
      <c r="D81" s="23"/>
      <c r="E81" s="23"/>
      <c r="F81" s="23"/>
      <c r="G81" s="23"/>
      <c r="H81" s="23"/>
      <c r="I81" s="23"/>
      <c r="J81" s="23"/>
      <c r="K81" s="23"/>
    </row>
    <row r="82" spans="1:11" ht="11.25" customHeight="1" x14ac:dyDescent="0.25">
      <c r="A82" s="80"/>
      <c r="B82" s="64"/>
      <c r="C82" s="79"/>
      <c r="D82" s="79"/>
      <c r="E82" s="79"/>
      <c r="F82" s="79"/>
      <c r="G82" s="79"/>
      <c r="H82" s="79"/>
      <c r="I82" s="79"/>
      <c r="J82" s="79"/>
      <c r="K82" s="79"/>
    </row>
    <row r="83" spans="1:11" ht="11.25" customHeight="1" x14ac:dyDescent="0.25">
      <c r="B83" s="25"/>
    </row>
    <row r="84" spans="1:11" ht="11.25" customHeight="1" x14ac:dyDescent="0.25">
      <c r="A84" s="89"/>
      <c r="B84" s="58"/>
      <c r="C84" s="90"/>
      <c r="D84" s="90"/>
      <c r="E84" s="90"/>
      <c r="F84" s="90"/>
      <c r="G84" s="90"/>
      <c r="H84" s="90"/>
      <c r="I84" s="90"/>
      <c r="J84" s="90"/>
      <c r="K84" s="90"/>
    </row>
    <row r="85" spans="1:11" ht="11.25" customHeight="1" x14ac:dyDescent="0.25">
      <c r="A85" s="89"/>
      <c r="B85" s="58"/>
      <c r="C85" s="90"/>
      <c r="D85" s="90"/>
      <c r="E85" s="90"/>
      <c r="F85" s="90"/>
      <c r="G85" s="90"/>
      <c r="H85" s="90"/>
      <c r="I85" s="90"/>
      <c r="J85" s="90"/>
      <c r="K85" s="90"/>
    </row>
    <row r="86" spans="1:11" ht="11.25" customHeight="1" x14ac:dyDescent="0.25">
      <c r="A86" s="81" t="s">
        <v>720</v>
      </c>
      <c r="B86" s="64"/>
      <c r="C86" s="693">
        <f>C40-C74</f>
        <v>0</v>
      </c>
      <c r="D86" s="693">
        <f t="shared" ref="D86:K86" si="23">D40-D74</f>
        <v>0</v>
      </c>
      <c r="E86" s="693">
        <f t="shared" si="23"/>
        <v>0</v>
      </c>
      <c r="F86" s="693">
        <f t="shared" si="23"/>
        <v>0</v>
      </c>
      <c r="G86" s="693">
        <f t="shared" si="23"/>
        <v>0</v>
      </c>
      <c r="H86" s="693">
        <f t="shared" si="23"/>
        <v>0</v>
      </c>
      <c r="I86" s="693"/>
      <c r="J86" s="693"/>
      <c r="K86" s="693">
        <f t="shared" si="23"/>
        <v>0</v>
      </c>
    </row>
    <row r="87" spans="1:11" ht="11.25" customHeight="1" x14ac:dyDescent="0.25"/>
    <row r="88" spans="1:11" ht="11.25" customHeight="1" x14ac:dyDescent="0.25"/>
    <row r="89" spans="1:11" ht="11.25" customHeight="1" x14ac:dyDescent="0.25"/>
    <row r="90" spans="1:11" ht="11.25" customHeight="1" x14ac:dyDescent="0.25"/>
    <row r="91" spans="1:11" ht="11.25" customHeight="1" x14ac:dyDescent="0.25"/>
    <row r="92" spans="1:11" ht="11.25" customHeight="1" x14ac:dyDescent="0.25"/>
    <row r="93" spans="1:11" ht="11.25" customHeight="1" x14ac:dyDescent="0.25"/>
    <row r="94" spans="1:11" ht="11.25" customHeight="1" x14ac:dyDescent="0.25"/>
    <row r="95" spans="1:11" ht="11.25" customHeight="1" x14ac:dyDescent="0.25"/>
    <row r="96" spans="1:11"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sheetData>
  <sheetProtection password="C646" sheet="1" objects="1" scenarios="1"/>
  <mergeCells count="6">
    <mergeCell ref="A1:K1"/>
    <mergeCell ref="A77:K77"/>
    <mergeCell ref="A79:K79"/>
    <mergeCell ref="A78:K78"/>
    <mergeCell ref="A2:A3"/>
    <mergeCell ref="B2:B3"/>
  </mergeCells>
  <phoneticPr fontId="2" type="noConversion"/>
  <printOptions horizontalCentered="1"/>
  <pageMargins left="0.35433070866141736" right="0.15748031496062992" top="0.78740157480314965" bottom="0.59055118110236227" header="0.51181102362204722" footer="0.51181102362204722"/>
  <pageSetup paperSize="9" scale="89" orientation="portrait" r:id="rId1"/>
  <headerFooter alignWithMargins="0"/>
  <ignoredErrors>
    <ignoredError sqref="J39:J40 J21 J63"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4"/>
  </sheetPr>
  <dimension ref="A1:X354"/>
  <sheetViews>
    <sheetView showGridLines="0" showZeros="0" zoomScaleNormal="100" workbookViewId="0">
      <pane xSplit="2" ySplit="4" topLeftCell="C25" activePane="bottomRight" state="frozen"/>
      <selection pane="topRight"/>
      <selection pane="bottomLeft"/>
      <selection pane="bottomRight" activeCell="G36" sqref="G36"/>
    </sheetView>
  </sheetViews>
  <sheetFormatPr defaultColWidth="9.140625" defaultRowHeight="12.75" x14ac:dyDescent="0.25"/>
  <cols>
    <col min="1" max="1" width="31.85546875" style="25" customWidth="1"/>
    <col min="2" max="2" width="3" style="494" customWidth="1"/>
    <col min="3" max="11" width="9.28515625" style="25" customWidth="1"/>
    <col min="12" max="23" width="0" style="25" hidden="1" customWidth="1"/>
    <col min="24" max="16384" width="9.140625" style="25"/>
  </cols>
  <sheetData>
    <row r="1" spans="1:23" ht="15" customHeight="1" x14ac:dyDescent="0.25">
      <c r="A1" s="1044" t="str">
        <f>muni&amp; " - "&amp;S71D&amp; " - "&amp;"A"&amp; " - "&amp;date</f>
        <v>KZN225 Msunduzi - Table C5 Consolidated Monthly Budget Statement - Capital Expenditure (municipal vote, functional classification and funding  - A - Mid-Year Assessment</v>
      </c>
      <c r="B1" s="1044"/>
      <c r="C1" s="1044"/>
      <c r="D1" s="1044"/>
      <c r="E1" s="1044"/>
      <c r="F1" s="1044"/>
      <c r="G1" s="1044"/>
      <c r="H1" s="1044"/>
      <c r="I1" s="1044"/>
      <c r="J1" s="1044"/>
      <c r="K1" s="1044"/>
    </row>
    <row r="2" spans="1:23" ht="28.5" customHeight="1" x14ac:dyDescent="0.25">
      <c r="A2" s="435" t="str">
        <f>Vdesc</f>
        <v>Vote Description</v>
      </c>
      <c r="B2" s="436" t="str">
        <f>head27</f>
        <v>Ref</v>
      </c>
      <c r="C2" s="142" t="str">
        <f>Head1</f>
        <v>2019/20</v>
      </c>
      <c r="D2" s="1037" t="str">
        <f>Head2</f>
        <v>Budget Year 2020/21</v>
      </c>
      <c r="E2" s="1038"/>
      <c r="F2" s="1038"/>
      <c r="G2" s="1038"/>
      <c r="H2" s="1038"/>
      <c r="I2" s="1038"/>
      <c r="J2" s="1038"/>
      <c r="K2" s="1039"/>
      <c r="L2" s="1048" t="e">
        <f>Head4</f>
        <v>#REF!</v>
      </c>
      <c r="M2" s="1049"/>
      <c r="N2" s="1049"/>
      <c r="O2" s="1049"/>
      <c r="P2" s="1049"/>
      <c r="Q2" s="1049"/>
      <c r="R2" s="1049"/>
      <c r="S2" s="1049"/>
      <c r="T2" s="1049"/>
      <c r="U2" s="1049"/>
      <c r="V2" s="1049"/>
      <c r="W2" s="1050"/>
    </row>
    <row r="3" spans="1:23" ht="25.5" x14ac:dyDescent="0.25">
      <c r="A3" s="496" t="s">
        <v>120</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0" t="str">
        <f>Head12</f>
        <v>Forecast 2010/11</v>
      </c>
      <c r="M3" s="691" t="str">
        <f>Head13</f>
        <v>Forecast 2011/12</v>
      </c>
      <c r="N3" s="691" t="str">
        <f>Head14</f>
        <v>Forecast 2012/13</v>
      </c>
      <c r="O3" s="691" t="str">
        <f>Head15</f>
        <v>Forecast 2013/14</v>
      </c>
      <c r="P3" s="691" t="str">
        <f>Head16</f>
        <v>Forecast 2014/15</v>
      </c>
      <c r="Q3" s="691" t="str">
        <f>Head17</f>
        <v>Forecast 2015/16</v>
      </c>
      <c r="R3" s="691" t="str">
        <f>Head18</f>
        <v>Forecast 2016/17</v>
      </c>
      <c r="S3" s="691" t="str">
        <f>Head19</f>
        <v>Forecast 2017/18</v>
      </c>
      <c r="T3" s="691" t="str">
        <f>Head20</f>
        <v>Forecast 2018/19</v>
      </c>
      <c r="U3" s="691" t="str">
        <f>Head21</f>
        <v>Forecast 2019/20</v>
      </c>
      <c r="V3" s="691" t="str">
        <f>Head22</f>
        <v>Forecast 2020/21</v>
      </c>
      <c r="W3" s="691" t="str">
        <f>Head23</f>
        <v>Forecast 2021/22</v>
      </c>
    </row>
    <row r="4" spans="1:23" ht="11.25" customHeight="1" x14ac:dyDescent="0.25">
      <c r="A4" s="437"/>
      <c r="B4" s="438"/>
      <c r="C4" s="223"/>
      <c r="D4" s="240"/>
      <c r="E4" s="241"/>
      <c r="F4" s="82"/>
      <c r="G4" s="82"/>
      <c r="H4" s="82"/>
      <c r="I4" s="82"/>
      <c r="J4" s="242" t="s">
        <v>575</v>
      </c>
      <c r="K4" s="223"/>
      <c r="L4" s="424"/>
      <c r="M4" s="38"/>
      <c r="N4" s="38"/>
      <c r="O4" s="38"/>
      <c r="P4" s="38"/>
      <c r="Q4" s="38"/>
      <c r="R4" s="38"/>
      <c r="S4" s="38"/>
      <c r="T4" s="38"/>
      <c r="U4" s="38"/>
      <c r="V4" s="38"/>
      <c r="W4" s="38"/>
    </row>
    <row r="5" spans="1:23" ht="11.25" customHeight="1" x14ac:dyDescent="0.25">
      <c r="A5" s="35" t="s">
        <v>797</v>
      </c>
      <c r="B5" s="497"/>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35" t="s">
        <v>800</v>
      </c>
      <c r="B6" s="415">
        <v>1</v>
      </c>
      <c r="C6" s="498"/>
      <c r="D6" s="228"/>
      <c r="E6" s="165"/>
      <c r="F6" s="499"/>
      <c r="G6" s="500"/>
      <c r="H6" s="499"/>
      <c r="I6" s="500"/>
      <c r="J6" s="501"/>
      <c r="K6" s="502"/>
      <c r="L6" s="424"/>
      <c r="M6" s="38"/>
      <c r="N6" s="38"/>
      <c r="O6" s="38"/>
      <c r="P6" s="38"/>
      <c r="Q6" s="38"/>
      <c r="R6" s="38"/>
      <c r="S6" s="38"/>
      <c r="T6" s="38"/>
      <c r="U6" s="38"/>
      <c r="V6" s="38"/>
      <c r="W6" s="38"/>
    </row>
    <row r="7" spans="1:23" ht="11.25" customHeight="1" x14ac:dyDescent="0.25">
      <c r="A7" s="466" t="str">
        <f>'Org structure'!A2</f>
        <v>Vote 1 - City Manager</v>
      </c>
      <c r="B7" s="440"/>
      <c r="C7" s="503">
        <f t="shared" ref="C7:H7" si="0">SUM(C8:C11)</f>
        <v>0</v>
      </c>
      <c r="D7" s="444">
        <f t="shared" si="0"/>
        <v>3800000</v>
      </c>
      <c r="E7" s="441">
        <f t="shared" si="0"/>
        <v>3800000</v>
      </c>
      <c r="F7" s="443">
        <f t="shared" si="0"/>
        <v>0</v>
      </c>
      <c r="G7" s="441">
        <f t="shared" si="0"/>
        <v>0</v>
      </c>
      <c r="H7" s="443">
        <f t="shared" si="0"/>
        <v>1900000</v>
      </c>
      <c r="I7" s="50">
        <f t="shared" ref="I7:I43" si="1">G7-H7</f>
        <v>-1900000</v>
      </c>
      <c r="J7" s="146">
        <f t="shared" ref="J7:J43" si="2">IF(I7=0,"",I7/H7)</f>
        <v>-1</v>
      </c>
      <c r="K7" s="442">
        <f>SUM(K8:K11)</f>
        <v>3800000</v>
      </c>
      <c r="L7" s="424"/>
      <c r="M7" s="38"/>
      <c r="N7" s="38"/>
      <c r="O7" s="38"/>
      <c r="P7" s="38"/>
      <c r="Q7" s="38"/>
      <c r="R7" s="38"/>
      <c r="S7" s="38"/>
      <c r="T7" s="38"/>
      <c r="U7" s="38"/>
      <c r="V7" s="38"/>
      <c r="W7" s="38"/>
    </row>
    <row r="8" spans="1:23" ht="11.25" customHeight="1" x14ac:dyDescent="0.25">
      <c r="A8" s="407" t="str">
        <f>'Org structure'!E3</f>
        <v>1.1 - Internal Audit and Compliance</v>
      </c>
      <c r="B8" s="445"/>
      <c r="C8" s="739"/>
      <c r="D8" s="740"/>
      <c r="E8" s="741"/>
      <c r="F8" s="742"/>
      <c r="G8" s="741"/>
      <c r="H8" s="742"/>
      <c r="I8" s="44">
        <f t="shared" si="1"/>
        <v>0</v>
      </c>
      <c r="J8" s="330" t="str">
        <f t="shared" si="2"/>
        <v/>
      </c>
      <c r="K8" s="743"/>
      <c r="L8" s="424"/>
      <c r="M8" s="38"/>
      <c r="N8" s="38"/>
      <c r="O8" s="38"/>
      <c r="P8" s="38"/>
      <c r="Q8" s="38"/>
      <c r="R8" s="38"/>
      <c r="S8" s="38"/>
      <c r="T8" s="38"/>
      <c r="U8" s="38"/>
      <c r="V8" s="38"/>
      <c r="W8" s="38"/>
    </row>
    <row r="9" spans="1:23" ht="11.25" customHeight="1" x14ac:dyDescent="0.25">
      <c r="A9" s="407" t="str">
        <f>'Org structure'!E4</f>
        <v>1.2 - Office of the City Manager</v>
      </c>
      <c r="B9" s="445"/>
      <c r="C9" s="739"/>
      <c r="D9" s="740">
        <v>3800000</v>
      </c>
      <c r="E9" s="741">
        <v>3800000</v>
      </c>
      <c r="F9" s="742"/>
      <c r="G9" s="741"/>
      <c r="H9" s="742">
        <f>E9/12*6</f>
        <v>1900000</v>
      </c>
      <c r="I9" s="44">
        <f t="shared" si="1"/>
        <v>-1900000</v>
      </c>
      <c r="J9" s="330">
        <f t="shared" si="2"/>
        <v>-1</v>
      </c>
      <c r="K9" s="743">
        <f t="shared" ref="K9" si="3">E9</f>
        <v>3800000</v>
      </c>
      <c r="L9" s="424"/>
      <c r="M9" s="38"/>
      <c r="N9" s="38"/>
      <c r="O9" s="38"/>
      <c r="P9" s="38"/>
      <c r="Q9" s="38"/>
      <c r="R9" s="38"/>
      <c r="S9" s="38"/>
      <c r="T9" s="38"/>
      <c r="U9" s="38"/>
      <c r="V9" s="38"/>
      <c r="W9" s="38"/>
    </row>
    <row r="10" spans="1:23" ht="11.25" customHeight="1" x14ac:dyDescent="0.25">
      <c r="A10" s="407" t="str">
        <f>'Org structure'!E5</f>
        <v>1.3 - Political Support</v>
      </c>
      <c r="B10" s="445"/>
      <c r="C10" s="739"/>
      <c r="D10" s="740"/>
      <c r="E10" s="741"/>
      <c r="F10" s="742"/>
      <c r="G10" s="741"/>
      <c r="H10" s="742"/>
      <c r="I10" s="44">
        <f t="shared" si="1"/>
        <v>0</v>
      </c>
      <c r="J10" s="330" t="str">
        <f t="shared" si="2"/>
        <v/>
      </c>
      <c r="K10" s="743"/>
      <c r="L10" s="424"/>
      <c r="M10" s="38"/>
      <c r="N10" s="38"/>
      <c r="O10" s="38"/>
      <c r="P10" s="38"/>
      <c r="Q10" s="38"/>
      <c r="R10" s="38"/>
      <c r="S10" s="38"/>
      <c r="T10" s="38"/>
      <c r="U10" s="38"/>
      <c r="V10" s="38"/>
      <c r="W10" s="38"/>
    </row>
    <row r="11" spans="1:23" ht="11.25" customHeight="1" x14ac:dyDescent="0.25">
      <c r="A11" s="407" t="str">
        <f>'Org structure'!E6</f>
        <v>1.4 - Strategic Planning</v>
      </c>
      <c r="B11" s="445"/>
      <c r="C11" s="739"/>
      <c r="D11" s="740"/>
      <c r="E11" s="741"/>
      <c r="F11" s="742"/>
      <c r="G11" s="741"/>
      <c r="H11" s="742"/>
      <c r="I11" s="44">
        <f t="shared" si="1"/>
        <v>0</v>
      </c>
      <c r="J11" s="330" t="str">
        <f t="shared" si="2"/>
        <v/>
      </c>
      <c r="K11" s="743"/>
      <c r="L11" s="424"/>
      <c r="M11" s="38"/>
      <c r="N11" s="38"/>
      <c r="O11" s="38"/>
      <c r="P11" s="38"/>
      <c r="Q11" s="38"/>
      <c r="R11" s="38"/>
      <c r="S11" s="38"/>
      <c r="T11" s="38"/>
      <c r="U11" s="38"/>
      <c r="V11" s="38"/>
      <c r="W11" s="38"/>
    </row>
    <row r="12" spans="1:23" ht="11.25" customHeight="1" x14ac:dyDescent="0.25">
      <c r="A12" s="466" t="str">
        <f>'Org structure'!A3</f>
        <v>Vote 2 - City Finance</v>
      </c>
      <c r="B12" s="440"/>
      <c r="C12" s="503">
        <f t="shared" ref="C12:H12" si="4">SUM(C13:C17)</f>
        <v>0</v>
      </c>
      <c r="D12" s="444">
        <f t="shared" si="4"/>
        <v>12500000</v>
      </c>
      <c r="E12" s="441">
        <f t="shared" si="4"/>
        <v>12500000</v>
      </c>
      <c r="F12" s="443">
        <f t="shared" si="4"/>
        <v>0</v>
      </c>
      <c r="G12" s="441">
        <f t="shared" si="4"/>
        <v>0</v>
      </c>
      <c r="H12" s="443">
        <f t="shared" si="4"/>
        <v>6250000</v>
      </c>
      <c r="I12" s="44">
        <f t="shared" si="1"/>
        <v>-6250000</v>
      </c>
      <c r="J12" s="330">
        <f t="shared" si="2"/>
        <v>-1</v>
      </c>
      <c r="K12" s="442">
        <f>SUM(K13:K17)</f>
        <v>12500000</v>
      </c>
      <c r="L12" s="424"/>
      <c r="M12" s="38"/>
      <c r="N12" s="38"/>
      <c r="O12" s="38"/>
      <c r="P12" s="38"/>
      <c r="Q12" s="38"/>
      <c r="R12" s="38"/>
      <c r="S12" s="38"/>
      <c r="T12" s="38"/>
      <c r="U12" s="38"/>
      <c r="V12" s="38"/>
      <c r="W12" s="38"/>
    </row>
    <row r="13" spans="1:23" ht="11.25" customHeight="1" x14ac:dyDescent="0.25">
      <c r="A13" s="407" t="str">
        <f>'Org structure'!E14</f>
        <v>2.1 - Asset Management</v>
      </c>
      <c r="B13" s="445"/>
      <c r="C13" s="739"/>
      <c r="D13" s="740"/>
      <c r="E13" s="741"/>
      <c r="F13" s="742"/>
      <c r="G13" s="741"/>
      <c r="H13" s="742"/>
      <c r="I13" s="44">
        <f t="shared" si="1"/>
        <v>0</v>
      </c>
      <c r="J13" s="330" t="str">
        <f t="shared" si="2"/>
        <v/>
      </c>
      <c r="K13" s="743"/>
      <c r="L13" s="424"/>
      <c r="M13" s="38"/>
      <c r="N13" s="38"/>
      <c r="O13" s="38"/>
      <c r="P13" s="38"/>
      <c r="Q13" s="38"/>
      <c r="R13" s="38"/>
      <c r="S13" s="38"/>
      <c r="T13" s="38"/>
      <c r="U13" s="38"/>
      <c r="V13" s="38"/>
      <c r="W13" s="38"/>
    </row>
    <row r="14" spans="1:23" ht="11.25" customHeight="1" x14ac:dyDescent="0.25">
      <c r="A14" s="407" t="str">
        <f>'Org structure'!E15</f>
        <v>2.2 - Budget and Treasury Management</v>
      </c>
      <c r="B14" s="445"/>
      <c r="C14" s="739"/>
      <c r="D14" s="740">
        <v>12500000</v>
      </c>
      <c r="E14" s="741">
        <v>12500000</v>
      </c>
      <c r="F14" s="742"/>
      <c r="G14" s="741"/>
      <c r="H14" s="742">
        <f>E14/12*6</f>
        <v>6250000</v>
      </c>
      <c r="I14" s="44">
        <f t="shared" si="1"/>
        <v>-6250000</v>
      </c>
      <c r="J14" s="330">
        <f t="shared" si="2"/>
        <v>-1</v>
      </c>
      <c r="K14" s="743">
        <f t="shared" ref="K14" si="5">E14</f>
        <v>12500000</v>
      </c>
      <c r="L14" s="424"/>
      <c r="M14" s="38"/>
      <c r="N14" s="38"/>
      <c r="O14" s="38"/>
      <c r="P14" s="38"/>
      <c r="Q14" s="38"/>
      <c r="R14" s="38"/>
      <c r="S14" s="38"/>
      <c r="T14" s="38"/>
      <c r="U14" s="38"/>
      <c r="V14" s="38"/>
      <c r="W14" s="38"/>
    </row>
    <row r="15" spans="1:23" ht="11.25" customHeight="1" x14ac:dyDescent="0.25">
      <c r="A15" s="407" t="str">
        <f>'Org structure'!E16</f>
        <v>2.3 - Expenditure Management</v>
      </c>
      <c r="B15" s="445"/>
      <c r="C15" s="739"/>
      <c r="D15" s="740"/>
      <c r="E15" s="741"/>
      <c r="F15" s="742"/>
      <c r="G15" s="741"/>
      <c r="H15" s="742"/>
      <c r="I15" s="44">
        <f t="shared" si="1"/>
        <v>0</v>
      </c>
      <c r="J15" s="330" t="str">
        <f t="shared" si="2"/>
        <v/>
      </c>
      <c r="K15" s="743"/>
      <c r="L15" s="424"/>
      <c r="M15" s="38"/>
      <c r="N15" s="38"/>
      <c r="O15" s="38"/>
      <c r="P15" s="38"/>
      <c r="Q15" s="38"/>
      <c r="R15" s="38"/>
      <c r="S15" s="38"/>
      <c r="T15" s="38"/>
      <c r="U15" s="38"/>
      <c r="V15" s="38"/>
      <c r="W15" s="38"/>
    </row>
    <row r="16" spans="1:23" ht="11.25" customHeight="1" x14ac:dyDescent="0.25">
      <c r="A16" s="407" t="str">
        <f>'Org structure'!E17</f>
        <v>2.4 - Revenue Management</v>
      </c>
      <c r="B16" s="445"/>
      <c r="C16" s="739"/>
      <c r="D16" s="740"/>
      <c r="E16" s="741"/>
      <c r="F16" s="742"/>
      <c r="G16" s="741"/>
      <c r="H16" s="742"/>
      <c r="I16" s="44">
        <f t="shared" si="1"/>
        <v>0</v>
      </c>
      <c r="J16" s="330" t="str">
        <f t="shared" si="2"/>
        <v/>
      </c>
      <c r="K16" s="743"/>
      <c r="L16" s="424"/>
      <c r="M16" s="38"/>
      <c r="N16" s="38"/>
      <c r="O16" s="38"/>
      <c r="P16" s="38"/>
      <c r="Q16" s="38"/>
      <c r="R16" s="38"/>
      <c r="S16" s="38"/>
      <c r="T16" s="38"/>
      <c r="U16" s="38"/>
      <c r="V16" s="38"/>
      <c r="W16" s="38"/>
    </row>
    <row r="17" spans="1:23" ht="11.25" customHeight="1" x14ac:dyDescent="0.25">
      <c r="A17" s="407" t="str">
        <f>'Org structure'!E18</f>
        <v>2.5 - Supply Chain Management</v>
      </c>
      <c r="B17" s="445"/>
      <c r="C17" s="739"/>
      <c r="D17" s="740"/>
      <c r="E17" s="741"/>
      <c r="F17" s="742"/>
      <c r="G17" s="741"/>
      <c r="H17" s="742"/>
      <c r="I17" s="44">
        <f t="shared" si="1"/>
        <v>0</v>
      </c>
      <c r="J17" s="330" t="str">
        <f t="shared" si="2"/>
        <v/>
      </c>
      <c r="K17" s="743"/>
      <c r="L17" s="424"/>
      <c r="M17" s="38"/>
      <c r="N17" s="38"/>
      <c r="O17" s="38"/>
      <c r="P17" s="38"/>
      <c r="Q17" s="38"/>
      <c r="R17" s="38"/>
      <c r="S17" s="38"/>
      <c r="T17" s="38"/>
      <c r="U17" s="38"/>
      <c r="V17" s="38"/>
      <c r="W17" s="38"/>
    </row>
    <row r="18" spans="1:23" ht="11.25" customHeight="1" x14ac:dyDescent="0.25">
      <c r="A18" s="466" t="str">
        <f>'Org structure'!A4</f>
        <v>Vote 3 - Community Services and Social Equity</v>
      </c>
      <c r="B18" s="440"/>
      <c r="C18" s="503">
        <f t="shared" ref="C18:H18" si="6">SUM(C19:C22)</f>
        <v>0</v>
      </c>
      <c r="D18" s="444">
        <f t="shared" si="6"/>
        <v>23812425</v>
      </c>
      <c r="E18" s="441">
        <f t="shared" si="6"/>
        <v>23812425</v>
      </c>
      <c r="F18" s="443">
        <f t="shared" si="6"/>
        <v>0</v>
      </c>
      <c r="G18" s="441">
        <f t="shared" si="6"/>
        <v>0</v>
      </c>
      <c r="H18" s="443">
        <f t="shared" si="6"/>
        <v>11906212.5</v>
      </c>
      <c r="I18" s="44">
        <f t="shared" si="1"/>
        <v>-11906212.5</v>
      </c>
      <c r="J18" s="330">
        <f t="shared" si="2"/>
        <v>-1</v>
      </c>
      <c r="K18" s="442">
        <f>SUM(K19:K22)</f>
        <v>23812425</v>
      </c>
      <c r="L18" s="424"/>
      <c r="M18" s="38"/>
      <c r="N18" s="38"/>
      <c r="O18" s="38"/>
      <c r="P18" s="38"/>
      <c r="Q18" s="38"/>
      <c r="R18" s="38"/>
      <c r="S18" s="38"/>
      <c r="T18" s="38"/>
      <c r="U18" s="38"/>
      <c r="V18" s="38"/>
      <c r="W18" s="38"/>
    </row>
    <row r="19" spans="1:23" ht="11.25" customHeight="1" x14ac:dyDescent="0.25">
      <c r="A19" s="407" t="str">
        <f>'Org structure'!E25</f>
        <v xml:space="preserve">3.1 - Area Based Management </v>
      </c>
      <c r="B19" s="445"/>
      <c r="C19" s="739"/>
      <c r="D19" s="740"/>
      <c r="E19" s="741"/>
      <c r="F19" s="742"/>
      <c r="G19" s="741"/>
      <c r="H19" s="741"/>
      <c r="I19" s="258">
        <f t="shared" si="1"/>
        <v>0</v>
      </c>
      <c r="J19" s="330" t="str">
        <f t="shared" si="2"/>
        <v/>
      </c>
      <c r="K19" s="743"/>
      <c r="L19" s="424"/>
      <c r="M19" s="38"/>
      <c r="N19" s="38"/>
      <c r="O19" s="38"/>
      <c r="P19" s="38"/>
      <c r="Q19" s="38"/>
      <c r="R19" s="38"/>
      <c r="S19" s="38"/>
      <c r="T19" s="38"/>
      <c r="U19" s="38"/>
      <c r="V19" s="38"/>
      <c r="W19" s="38"/>
    </row>
    <row r="20" spans="1:23" ht="11.25" customHeight="1" x14ac:dyDescent="0.25">
      <c r="A20" s="407" t="str">
        <f>'Org structure'!E26</f>
        <v>3.2 - Public Safety, Emergency Services and Enforcement</v>
      </c>
      <c r="B20" s="445"/>
      <c r="C20" s="739"/>
      <c r="D20" s="740"/>
      <c r="E20" s="741"/>
      <c r="F20" s="742"/>
      <c r="G20" s="741"/>
      <c r="H20" s="742"/>
      <c r="I20" s="44">
        <f t="shared" si="1"/>
        <v>0</v>
      </c>
      <c r="J20" s="330" t="str">
        <f t="shared" si="2"/>
        <v/>
      </c>
      <c r="K20" s="743"/>
      <c r="L20" s="424"/>
      <c r="M20" s="38"/>
      <c r="N20" s="38"/>
      <c r="O20" s="38"/>
      <c r="P20" s="38"/>
      <c r="Q20" s="38"/>
      <c r="R20" s="38"/>
      <c r="S20" s="38"/>
      <c r="T20" s="38"/>
      <c r="U20" s="38"/>
      <c r="V20" s="38"/>
      <c r="W20" s="38"/>
    </row>
    <row r="21" spans="1:23" ht="11.25" customHeight="1" x14ac:dyDescent="0.25">
      <c r="A21" s="407" t="str">
        <f>'Org structure'!E27</f>
        <v>3.3 - Recreation and Facilities</v>
      </c>
      <c r="B21" s="445"/>
      <c r="C21" s="739"/>
      <c r="D21" s="740">
        <v>7000000</v>
      </c>
      <c r="E21" s="741">
        <v>7000000</v>
      </c>
      <c r="F21" s="742"/>
      <c r="G21" s="741"/>
      <c r="H21" s="742">
        <f>E21/12*6</f>
        <v>3500000</v>
      </c>
      <c r="I21" s="44">
        <f t="shared" si="1"/>
        <v>-3500000</v>
      </c>
      <c r="J21" s="330">
        <f t="shared" si="2"/>
        <v>-1</v>
      </c>
      <c r="K21" s="743">
        <f t="shared" ref="K21:K22" si="7">E21</f>
        <v>7000000</v>
      </c>
      <c r="L21" s="424"/>
      <c r="M21" s="38"/>
      <c r="N21" s="38"/>
      <c r="O21" s="38"/>
      <c r="P21" s="38"/>
      <c r="Q21" s="38"/>
      <c r="R21" s="38"/>
      <c r="S21" s="38"/>
      <c r="T21" s="38"/>
      <c r="U21" s="38"/>
      <c r="V21" s="38"/>
      <c r="W21" s="38"/>
    </row>
    <row r="22" spans="1:23" ht="11.25" customHeight="1" x14ac:dyDescent="0.25">
      <c r="A22" s="407" t="str">
        <f>'Org structure'!E28</f>
        <v>3.4 - Waste Management</v>
      </c>
      <c r="B22" s="445"/>
      <c r="C22" s="739"/>
      <c r="D22" s="740">
        <v>16812425</v>
      </c>
      <c r="E22" s="741">
        <v>16812425</v>
      </c>
      <c r="F22" s="742"/>
      <c r="G22" s="741"/>
      <c r="H22" s="742">
        <f>E22/12*6</f>
        <v>8406212.5</v>
      </c>
      <c r="I22" s="44">
        <f t="shared" si="1"/>
        <v>-8406212.5</v>
      </c>
      <c r="J22" s="330">
        <f t="shared" si="2"/>
        <v>-1</v>
      </c>
      <c r="K22" s="743">
        <f t="shared" si="7"/>
        <v>16812425</v>
      </c>
      <c r="L22" s="424"/>
      <c r="M22" s="38"/>
      <c r="N22" s="38"/>
      <c r="O22" s="38"/>
      <c r="P22" s="38"/>
      <c r="Q22" s="38"/>
      <c r="R22" s="38"/>
      <c r="S22" s="38"/>
      <c r="T22" s="38"/>
      <c r="U22" s="38"/>
      <c r="V22" s="38"/>
      <c r="W22" s="38"/>
    </row>
    <row r="23" spans="1:23" ht="11.25" customHeight="1" x14ac:dyDescent="0.25">
      <c r="A23" s="466" t="str">
        <f>'Org structure'!A5</f>
        <v>Vote 4 - Corporate Services</v>
      </c>
      <c r="B23" s="440"/>
      <c r="C23" s="503">
        <f t="shared" ref="C23:H23" si="8">SUM(C24:C28)</f>
        <v>0</v>
      </c>
      <c r="D23" s="444">
        <f t="shared" si="8"/>
        <v>0</v>
      </c>
      <c r="E23" s="441">
        <f t="shared" si="8"/>
        <v>0</v>
      </c>
      <c r="F23" s="443">
        <f t="shared" si="8"/>
        <v>1352231.79</v>
      </c>
      <c r="G23" s="441">
        <f t="shared" si="8"/>
        <v>4067718.94</v>
      </c>
      <c r="H23" s="443">
        <f t="shared" si="8"/>
        <v>0</v>
      </c>
      <c r="I23" s="44">
        <f t="shared" si="1"/>
        <v>4067718.94</v>
      </c>
      <c r="J23" s="330" t="e">
        <f t="shared" si="2"/>
        <v>#DIV/0!</v>
      </c>
      <c r="K23" s="442">
        <f>SUM(K24:K28)</f>
        <v>0</v>
      </c>
      <c r="L23" s="424"/>
      <c r="M23" s="38"/>
      <c r="N23" s="38"/>
      <c r="O23" s="38"/>
      <c r="P23" s="38"/>
      <c r="Q23" s="38"/>
      <c r="R23" s="38"/>
      <c r="S23" s="38"/>
      <c r="T23" s="38"/>
      <c r="U23" s="38"/>
      <c r="V23" s="38"/>
      <c r="W23" s="38"/>
    </row>
    <row r="24" spans="1:23" ht="11.25" customHeight="1" x14ac:dyDescent="0.25">
      <c r="A24" s="407" t="str">
        <f>'Org structure'!E36</f>
        <v>4.1 - Human Resources Management</v>
      </c>
      <c r="B24" s="445"/>
      <c r="C24" s="739"/>
      <c r="D24" s="740"/>
      <c r="E24" s="741"/>
      <c r="F24" s="742"/>
      <c r="G24" s="741">
        <v>1532007.65</v>
      </c>
      <c r="H24" s="742"/>
      <c r="I24" s="44">
        <f t="shared" si="1"/>
        <v>1532007.65</v>
      </c>
      <c r="J24" s="330" t="e">
        <f t="shared" si="2"/>
        <v>#DIV/0!</v>
      </c>
      <c r="K24" s="743"/>
      <c r="L24" s="424"/>
      <c r="M24" s="38"/>
      <c r="N24" s="38"/>
      <c r="O24" s="38"/>
      <c r="P24" s="38"/>
      <c r="Q24" s="38"/>
      <c r="R24" s="38"/>
      <c r="S24" s="38"/>
      <c r="T24" s="38"/>
      <c r="U24" s="38"/>
      <c r="V24" s="38"/>
      <c r="W24" s="38"/>
    </row>
    <row r="25" spans="1:23" ht="11.25" customHeight="1" x14ac:dyDescent="0.25">
      <c r="A25" s="407" t="str">
        <f>'Org structure'!E37</f>
        <v>4.2 - Information Technology</v>
      </c>
      <c r="B25" s="445"/>
      <c r="C25" s="739"/>
      <c r="D25" s="740"/>
      <c r="E25" s="741"/>
      <c r="F25" s="742"/>
      <c r="G25" s="741"/>
      <c r="H25" s="742"/>
      <c r="I25" s="44">
        <f t="shared" si="1"/>
        <v>0</v>
      </c>
      <c r="J25" s="330" t="str">
        <f t="shared" si="2"/>
        <v/>
      </c>
      <c r="K25" s="743"/>
      <c r="L25" s="424"/>
      <c r="M25" s="38"/>
      <c r="N25" s="38"/>
      <c r="O25" s="38"/>
      <c r="P25" s="38"/>
      <c r="Q25" s="38"/>
      <c r="R25" s="38"/>
      <c r="S25" s="38"/>
      <c r="T25" s="38"/>
      <c r="U25" s="38"/>
      <c r="V25" s="38"/>
      <c r="W25" s="38"/>
    </row>
    <row r="26" spans="1:23" ht="11.25" customHeight="1" x14ac:dyDescent="0.25">
      <c r="A26" s="407" t="str">
        <f>'Org structure'!E38</f>
        <v>4.3 - Legal Services</v>
      </c>
      <c r="B26" s="445"/>
      <c r="C26" s="739"/>
      <c r="D26" s="740"/>
      <c r="E26" s="741"/>
      <c r="F26" s="742"/>
      <c r="G26" s="741"/>
      <c r="H26" s="742"/>
      <c r="I26" s="44">
        <f t="shared" si="1"/>
        <v>0</v>
      </c>
      <c r="J26" s="330" t="str">
        <f t="shared" si="2"/>
        <v/>
      </c>
      <c r="K26" s="743"/>
      <c r="L26" s="424"/>
      <c r="M26" s="38"/>
      <c r="N26" s="38"/>
      <c r="O26" s="38"/>
      <c r="P26" s="38"/>
      <c r="Q26" s="38"/>
      <c r="R26" s="38"/>
      <c r="S26" s="38"/>
      <c r="T26" s="38"/>
      <c r="U26" s="38"/>
      <c r="V26" s="38"/>
      <c r="W26" s="38"/>
    </row>
    <row r="27" spans="1:23" ht="11.25" customHeight="1" x14ac:dyDescent="0.25">
      <c r="A27" s="407" t="str">
        <f>'Org structure'!E39</f>
        <v>4.4 - Secretariat and Auxiliary Services</v>
      </c>
      <c r="B27" s="445"/>
      <c r="C27" s="739"/>
      <c r="D27" s="740"/>
      <c r="E27" s="741"/>
      <c r="F27" s="742">
        <v>1352231.79</v>
      </c>
      <c r="G27" s="741">
        <v>2535711.29</v>
      </c>
      <c r="H27" s="742"/>
      <c r="I27" s="44">
        <f t="shared" si="1"/>
        <v>2535711.29</v>
      </c>
      <c r="J27" s="330" t="e">
        <f t="shared" si="2"/>
        <v>#DIV/0!</v>
      </c>
      <c r="K27" s="743"/>
      <c r="L27" s="424"/>
      <c r="M27" s="38"/>
      <c r="N27" s="38"/>
      <c r="O27" s="38"/>
      <c r="P27" s="38"/>
      <c r="Q27" s="38"/>
      <c r="R27" s="38"/>
      <c r="S27" s="38"/>
      <c r="T27" s="38"/>
      <c r="U27" s="38"/>
      <c r="V27" s="38"/>
      <c r="W27" s="38"/>
    </row>
    <row r="28" spans="1:23" ht="11.25" customHeight="1" x14ac:dyDescent="0.25">
      <c r="A28" s="407" t="str">
        <f>'Org structure'!E40</f>
        <v>4.5 - General Manager: Corporate Service</v>
      </c>
      <c r="B28" s="445"/>
      <c r="C28" s="739"/>
      <c r="D28" s="740"/>
      <c r="E28" s="741"/>
      <c r="F28" s="742"/>
      <c r="G28" s="741"/>
      <c r="H28" s="742"/>
      <c r="I28" s="44">
        <f t="shared" si="1"/>
        <v>0</v>
      </c>
      <c r="J28" s="330" t="str">
        <f t="shared" si="2"/>
        <v/>
      </c>
      <c r="K28" s="743"/>
      <c r="L28" s="424"/>
      <c r="M28" s="38"/>
      <c r="N28" s="38"/>
      <c r="O28" s="38"/>
      <c r="P28" s="38"/>
      <c r="Q28" s="38"/>
      <c r="R28" s="38"/>
      <c r="S28" s="38"/>
      <c r="T28" s="38"/>
      <c r="U28" s="38"/>
      <c r="V28" s="38"/>
      <c r="W28" s="38"/>
    </row>
    <row r="29" spans="1:23" ht="11.25" customHeight="1" x14ac:dyDescent="0.25">
      <c r="A29" s="466" t="str">
        <f>'Org structure'!A6</f>
        <v>Vote 5 - Infrastructure Services</v>
      </c>
      <c r="B29" s="440"/>
      <c r="C29" s="503">
        <f t="shared" ref="C29:H29" si="9">SUM(C30:C34)</f>
        <v>0</v>
      </c>
      <c r="D29" s="444">
        <f t="shared" si="9"/>
        <v>168455000</v>
      </c>
      <c r="E29" s="441">
        <f t="shared" si="9"/>
        <v>168455000</v>
      </c>
      <c r="F29" s="443">
        <f t="shared" si="9"/>
        <v>59716144.509999998</v>
      </c>
      <c r="G29" s="441">
        <f t="shared" si="9"/>
        <v>196797955.75999999</v>
      </c>
      <c r="H29" s="443">
        <f t="shared" si="9"/>
        <v>84227500</v>
      </c>
      <c r="I29" s="44">
        <f t="shared" si="1"/>
        <v>112570455.75999999</v>
      </c>
      <c r="J29" s="330">
        <f t="shared" si="2"/>
        <v>1.3365047729067108</v>
      </c>
      <c r="K29" s="442">
        <f>SUM(K30:K34)</f>
        <v>168455000</v>
      </c>
      <c r="L29" s="424"/>
      <c r="M29" s="38"/>
      <c r="N29" s="38"/>
      <c r="O29" s="38"/>
      <c r="P29" s="38"/>
      <c r="Q29" s="38"/>
      <c r="R29" s="38"/>
      <c r="S29" s="38"/>
      <c r="T29" s="38"/>
      <c r="U29" s="38"/>
      <c r="V29" s="38"/>
      <c r="W29" s="38"/>
    </row>
    <row r="30" spans="1:23" ht="11.25" customHeight="1" x14ac:dyDescent="0.25">
      <c r="A30" s="407" t="str">
        <f>'Org structure'!E47</f>
        <v>5.1 - Electricity</v>
      </c>
      <c r="B30" s="445"/>
      <c r="C30" s="739"/>
      <c r="D30" s="740"/>
      <c r="E30" s="741"/>
      <c r="F30" s="742"/>
      <c r="G30" s="741"/>
      <c r="H30" s="742"/>
      <c r="I30" s="44">
        <f t="shared" si="1"/>
        <v>0</v>
      </c>
      <c r="J30" s="330" t="str">
        <f t="shared" si="2"/>
        <v/>
      </c>
      <c r="K30" s="743"/>
      <c r="L30" s="424"/>
      <c r="M30" s="38"/>
      <c r="N30" s="38"/>
      <c r="O30" s="38"/>
      <c r="P30" s="38"/>
      <c r="Q30" s="38"/>
      <c r="R30" s="38"/>
      <c r="S30" s="38"/>
      <c r="T30" s="38"/>
      <c r="U30" s="38"/>
      <c r="V30" s="38"/>
      <c r="W30" s="38"/>
    </row>
    <row r="31" spans="1:23" ht="11.25" customHeight="1" x14ac:dyDescent="0.25">
      <c r="A31" s="407" t="str">
        <f>'Org structure'!E48</f>
        <v>5.2 - Project Management Office</v>
      </c>
      <c r="B31" s="445"/>
      <c r="C31" s="739"/>
      <c r="D31" s="740"/>
      <c r="E31" s="741"/>
      <c r="F31" s="742"/>
      <c r="G31" s="741"/>
      <c r="H31" s="742"/>
      <c r="I31" s="44">
        <f t="shared" si="1"/>
        <v>0</v>
      </c>
      <c r="J31" s="330" t="str">
        <f t="shared" si="2"/>
        <v/>
      </c>
      <c r="K31" s="743"/>
      <c r="L31" s="424"/>
      <c r="M31" s="38"/>
      <c r="N31" s="38"/>
      <c r="O31" s="38"/>
      <c r="P31" s="38"/>
      <c r="Q31" s="38"/>
      <c r="R31" s="38"/>
      <c r="S31" s="38"/>
      <c r="T31" s="38"/>
      <c r="U31" s="38"/>
      <c r="V31" s="38"/>
      <c r="W31" s="38"/>
    </row>
    <row r="32" spans="1:23" ht="11.25" customHeight="1" x14ac:dyDescent="0.25">
      <c r="A32" s="407" t="str">
        <f>'Org structure'!E49</f>
        <v>5.3 - Roads and Transportation</v>
      </c>
      <c r="B32" s="445"/>
      <c r="C32" s="739"/>
      <c r="D32" s="740">
        <v>55700000</v>
      </c>
      <c r="E32" s="741">
        <v>55700000</v>
      </c>
      <c r="F32" s="742">
        <v>41508166.219999999</v>
      </c>
      <c r="G32" s="741">
        <v>121790220.93000001</v>
      </c>
      <c r="H32" s="742">
        <f>E32/12*6</f>
        <v>27850000</v>
      </c>
      <c r="I32" s="44">
        <f t="shared" si="1"/>
        <v>93940220.930000007</v>
      </c>
      <c r="J32" s="330">
        <f t="shared" si="2"/>
        <v>3.3730779508078998</v>
      </c>
      <c r="K32" s="743">
        <f t="shared" ref="K32:K33" si="10">E32</f>
        <v>55700000</v>
      </c>
      <c r="L32" s="424"/>
      <c r="M32" s="38"/>
      <c r="N32" s="38"/>
      <c r="O32" s="38"/>
      <c r="P32" s="38"/>
      <c r="Q32" s="38"/>
      <c r="R32" s="38"/>
      <c r="S32" s="38"/>
      <c r="T32" s="38"/>
      <c r="U32" s="38"/>
      <c r="V32" s="38"/>
      <c r="W32" s="38"/>
    </row>
    <row r="33" spans="1:23" ht="11.25" customHeight="1" x14ac:dyDescent="0.25">
      <c r="A33" s="407" t="str">
        <f>'Org structure'!E50</f>
        <v>5.4 - Water and Sanitation</v>
      </c>
      <c r="B33" s="445"/>
      <c r="C33" s="739"/>
      <c r="D33" s="740">
        <v>112755000</v>
      </c>
      <c r="E33" s="741">
        <v>112755000</v>
      </c>
      <c r="F33" s="742">
        <v>18207978.289999999</v>
      </c>
      <c r="G33" s="741">
        <v>75007734.829999998</v>
      </c>
      <c r="H33" s="742">
        <f>E33/12*6</f>
        <v>56377500</v>
      </c>
      <c r="I33" s="44">
        <f t="shared" si="1"/>
        <v>18630234.829999998</v>
      </c>
      <c r="J33" s="330">
        <f t="shared" si="2"/>
        <v>0.330455143097867</v>
      </c>
      <c r="K33" s="743">
        <f t="shared" si="10"/>
        <v>112755000</v>
      </c>
      <c r="L33" s="424"/>
      <c r="M33" s="38"/>
      <c r="N33" s="38"/>
      <c r="O33" s="38"/>
      <c r="P33" s="38"/>
      <c r="Q33" s="38"/>
      <c r="R33" s="38"/>
      <c r="S33" s="38"/>
      <c r="T33" s="38"/>
      <c r="U33" s="38"/>
      <c r="V33" s="38"/>
      <c r="W33" s="38"/>
    </row>
    <row r="34" spans="1:23" ht="11.25" customHeight="1" x14ac:dyDescent="0.25">
      <c r="A34" s="407" t="str">
        <f>'Org structure'!E51</f>
        <v xml:space="preserve">5.5 - General Manager: Infrastructure </v>
      </c>
      <c r="B34" s="445"/>
      <c r="C34" s="739"/>
      <c r="D34" s="740"/>
      <c r="E34" s="741"/>
      <c r="F34" s="742"/>
      <c r="G34" s="741"/>
      <c r="H34" s="742"/>
      <c r="I34" s="44">
        <f t="shared" si="1"/>
        <v>0</v>
      </c>
      <c r="J34" s="330" t="str">
        <f t="shared" si="2"/>
        <v/>
      </c>
      <c r="K34" s="743"/>
      <c r="L34" s="424"/>
      <c r="M34" s="38"/>
      <c r="N34" s="38"/>
      <c r="O34" s="38"/>
      <c r="P34" s="38"/>
      <c r="Q34" s="38"/>
      <c r="R34" s="38"/>
      <c r="S34" s="38"/>
      <c r="T34" s="38"/>
      <c r="U34" s="38"/>
      <c r="V34" s="38"/>
      <c r="W34" s="38"/>
    </row>
    <row r="35" spans="1:23" ht="11.25" customHeight="1" x14ac:dyDescent="0.25">
      <c r="A35" s="466" t="str">
        <f>'Org structure'!A7</f>
        <v>Vote 6 - Sustainable Development and City Enterprises</v>
      </c>
      <c r="B35" s="440"/>
      <c r="C35" s="503">
        <f t="shared" ref="C35:H35" si="11">SUM(C36:C45)</f>
        <v>0</v>
      </c>
      <c r="D35" s="444">
        <f t="shared" si="11"/>
        <v>300600156</v>
      </c>
      <c r="E35" s="441">
        <f t="shared" si="11"/>
        <v>300600156</v>
      </c>
      <c r="F35" s="443">
        <f t="shared" si="11"/>
        <v>4378871.9399999995</v>
      </c>
      <c r="G35" s="441">
        <f t="shared" si="11"/>
        <v>32684895.860000003</v>
      </c>
      <c r="H35" s="443">
        <f t="shared" si="11"/>
        <v>150300078</v>
      </c>
      <c r="I35" s="44">
        <f t="shared" si="1"/>
        <v>-117615182.14</v>
      </c>
      <c r="J35" s="330">
        <f t="shared" si="2"/>
        <v>-0.78253573587633141</v>
      </c>
      <c r="K35" s="442">
        <f>SUM(K36:K45)</f>
        <v>300600156</v>
      </c>
      <c r="L35" s="424"/>
      <c r="M35" s="38"/>
      <c r="N35" s="38"/>
      <c r="O35" s="38"/>
      <c r="P35" s="38"/>
      <c r="Q35" s="38"/>
      <c r="R35" s="38"/>
      <c r="S35" s="38"/>
      <c r="T35" s="38"/>
      <c r="U35" s="38"/>
      <c r="V35" s="38"/>
      <c r="W35" s="38"/>
    </row>
    <row r="36" spans="1:23" ht="11.25" customHeight="1" x14ac:dyDescent="0.25">
      <c r="A36" s="407" t="str">
        <f>'Org structure'!E58</f>
        <v>6.1 - City Entities</v>
      </c>
      <c r="B36" s="445"/>
      <c r="C36" s="739"/>
      <c r="D36" s="740">
        <v>10212000</v>
      </c>
      <c r="E36" s="741">
        <v>10212000</v>
      </c>
      <c r="F36" s="742"/>
      <c r="G36" s="741">
        <v>169552.05</v>
      </c>
      <c r="H36" s="742">
        <f>E36/12*6</f>
        <v>5106000</v>
      </c>
      <c r="I36" s="44">
        <f t="shared" si="1"/>
        <v>-4936447.95</v>
      </c>
      <c r="J36" s="330">
        <f t="shared" si="2"/>
        <v>-0.96679356639247949</v>
      </c>
      <c r="K36" s="743">
        <f t="shared" ref="K36:K38" si="12">E36</f>
        <v>10212000</v>
      </c>
      <c r="L36" s="424"/>
      <c r="M36" s="38"/>
      <c r="N36" s="38"/>
      <c r="O36" s="38"/>
      <c r="P36" s="38"/>
      <c r="Q36" s="38"/>
      <c r="R36" s="38"/>
      <c r="S36" s="38"/>
      <c r="T36" s="38"/>
      <c r="U36" s="38"/>
      <c r="V36" s="38"/>
      <c r="W36" s="38"/>
    </row>
    <row r="37" spans="1:23" ht="11.25" customHeight="1" x14ac:dyDescent="0.25">
      <c r="A37" s="407" t="str">
        <f>'Org structure'!E59</f>
        <v>6.2 - Development Services</v>
      </c>
      <c r="B37" s="445"/>
      <c r="C37" s="739"/>
      <c r="D37" s="740">
        <v>35000000</v>
      </c>
      <c r="E37" s="741">
        <v>35000000</v>
      </c>
      <c r="F37" s="742">
        <v>-209201.65</v>
      </c>
      <c r="G37" s="741">
        <v>-1404368.8499999999</v>
      </c>
      <c r="H37" s="742">
        <f>E37/12*6</f>
        <v>17500000</v>
      </c>
      <c r="I37" s="44">
        <f t="shared" si="1"/>
        <v>-18904368.850000001</v>
      </c>
      <c r="J37" s="330">
        <f t="shared" si="2"/>
        <v>-1.0802496485714286</v>
      </c>
      <c r="K37" s="743">
        <f t="shared" si="12"/>
        <v>35000000</v>
      </c>
      <c r="L37" s="424"/>
      <c r="M37" s="38"/>
      <c r="N37" s="38"/>
      <c r="O37" s="38"/>
      <c r="P37" s="38"/>
      <c r="Q37" s="38"/>
      <c r="R37" s="38"/>
      <c r="S37" s="38"/>
      <c r="T37" s="38"/>
      <c r="U37" s="38"/>
      <c r="V37" s="38"/>
      <c r="W37" s="38"/>
    </row>
    <row r="38" spans="1:23" ht="11.25" customHeight="1" x14ac:dyDescent="0.25">
      <c r="A38" s="407" t="str">
        <f>'Org structure'!E60</f>
        <v>6.3 - Human Settlement Development</v>
      </c>
      <c r="B38" s="445"/>
      <c r="C38" s="739"/>
      <c r="D38" s="740">
        <v>255388156</v>
      </c>
      <c r="E38" s="741">
        <v>255388156</v>
      </c>
      <c r="F38" s="742">
        <v>4588073.59</v>
      </c>
      <c r="G38" s="741">
        <v>33919712.660000004</v>
      </c>
      <c r="H38" s="742">
        <f>E38/12*6</f>
        <v>127694078</v>
      </c>
      <c r="I38" s="44">
        <f t="shared" si="1"/>
        <v>-93774365.340000004</v>
      </c>
      <c r="J38" s="330">
        <f t="shared" si="2"/>
        <v>-0.73436737872840119</v>
      </c>
      <c r="K38" s="743">
        <f t="shared" si="12"/>
        <v>255388156</v>
      </c>
      <c r="L38" s="424"/>
      <c r="M38" s="38"/>
      <c r="N38" s="38"/>
      <c r="O38" s="38"/>
      <c r="P38" s="38"/>
      <c r="Q38" s="38"/>
      <c r="R38" s="38"/>
      <c r="S38" s="38"/>
      <c r="T38" s="38"/>
      <c r="U38" s="38"/>
      <c r="V38" s="38"/>
      <c r="W38" s="38"/>
    </row>
    <row r="39" spans="1:23" ht="11.25" customHeight="1" x14ac:dyDescent="0.25">
      <c r="A39" s="407" t="str">
        <f>'Org structure'!E61</f>
        <v>6.4 - Town Planning</v>
      </c>
      <c r="B39" s="445"/>
      <c r="C39" s="739"/>
      <c r="D39" s="740"/>
      <c r="E39" s="741"/>
      <c r="F39" s="742"/>
      <c r="G39" s="741"/>
      <c r="H39" s="742"/>
      <c r="I39" s="44">
        <f t="shared" si="1"/>
        <v>0</v>
      </c>
      <c r="J39" s="330" t="str">
        <f t="shared" si="2"/>
        <v/>
      </c>
      <c r="K39" s="743"/>
      <c r="L39" s="424"/>
      <c r="M39" s="38"/>
      <c r="N39" s="38"/>
      <c r="O39" s="38"/>
      <c r="P39" s="38"/>
      <c r="Q39" s="38"/>
      <c r="R39" s="38"/>
      <c r="S39" s="38"/>
      <c r="T39" s="38"/>
      <c r="U39" s="38"/>
      <c r="V39" s="38"/>
      <c r="W39" s="38"/>
    </row>
    <row r="40" spans="1:23" ht="11.25" customHeight="1" x14ac:dyDescent="0.25">
      <c r="A40" s="407" t="str">
        <f>'Org structure'!E62</f>
        <v>6.5 - General Manager: Sustainable Development and City Enterprises</v>
      </c>
      <c r="B40" s="445"/>
      <c r="C40" s="739"/>
      <c r="D40" s="740"/>
      <c r="E40" s="741"/>
      <c r="F40" s="742"/>
      <c r="G40" s="741"/>
      <c r="H40" s="742"/>
      <c r="I40" s="44">
        <f t="shared" si="1"/>
        <v>0</v>
      </c>
      <c r="J40" s="330" t="str">
        <f t="shared" si="2"/>
        <v/>
      </c>
      <c r="K40" s="743"/>
      <c r="L40" s="424"/>
      <c r="M40" s="38"/>
      <c r="N40" s="38"/>
      <c r="O40" s="38"/>
      <c r="P40" s="38"/>
      <c r="Q40" s="38"/>
      <c r="R40" s="38"/>
      <c r="S40" s="38"/>
      <c r="T40" s="38"/>
      <c r="U40" s="38"/>
      <c r="V40" s="38"/>
      <c r="W40" s="38"/>
    </row>
    <row r="41" spans="1:23" ht="11.25" hidden="1" customHeight="1" x14ac:dyDescent="0.25">
      <c r="A41" s="407">
        <f>'Org structure'!E63</f>
        <v>0</v>
      </c>
      <c r="B41" s="445"/>
      <c r="C41" s="739"/>
      <c r="D41" s="740"/>
      <c r="E41" s="741"/>
      <c r="F41" s="742"/>
      <c r="G41" s="741"/>
      <c r="H41" s="742"/>
      <c r="I41" s="44">
        <f t="shared" si="1"/>
        <v>0</v>
      </c>
      <c r="J41" s="330" t="str">
        <f t="shared" si="2"/>
        <v/>
      </c>
      <c r="K41" s="743"/>
      <c r="L41" s="424"/>
      <c r="M41" s="38"/>
      <c r="N41" s="38"/>
      <c r="O41" s="38"/>
      <c r="P41" s="38"/>
      <c r="Q41" s="38"/>
      <c r="R41" s="38"/>
      <c r="S41" s="38"/>
      <c r="T41" s="38"/>
      <c r="U41" s="38"/>
      <c r="V41" s="38"/>
      <c r="W41" s="38"/>
    </row>
    <row r="42" spans="1:23" ht="11.25" hidden="1" customHeight="1" x14ac:dyDescent="0.25">
      <c r="A42" s="407">
        <f>'Org structure'!E64</f>
        <v>0</v>
      </c>
      <c r="B42" s="445"/>
      <c r="C42" s="739"/>
      <c r="D42" s="740"/>
      <c r="E42" s="741"/>
      <c r="F42" s="742"/>
      <c r="G42" s="741"/>
      <c r="H42" s="742"/>
      <c r="I42" s="44">
        <f t="shared" si="1"/>
        <v>0</v>
      </c>
      <c r="J42" s="330" t="str">
        <f t="shared" si="2"/>
        <v/>
      </c>
      <c r="K42" s="743"/>
      <c r="L42" s="424"/>
      <c r="M42" s="38"/>
      <c r="N42" s="38"/>
      <c r="O42" s="38"/>
      <c r="P42" s="38"/>
      <c r="Q42" s="38"/>
      <c r="R42" s="38"/>
      <c r="S42" s="38"/>
      <c r="T42" s="38"/>
      <c r="U42" s="38"/>
      <c r="V42" s="38"/>
      <c r="W42" s="38"/>
    </row>
    <row r="43" spans="1:23" ht="11.25" hidden="1" customHeight="1" x14ac:dyDescent="0.25">
      <c r="A43" s="407">
        <f>'Org structure'!E65</f>
        <v>0</v>
      </c>
      <c r="B43" s="445"/>
      <c r="C43" s="739"/>
      <c r="D43" s="740"/>
      <c r="E43" s="741"/>
      <c r="F43" s="742"/>
      <c r="G43" s="741"/>
      <c r="H43" s="742"/>
      <c r="I43" s="44">
        <f t="shared" si="1"/>
        <v>0</v>
      </c>
      <c r="J43" s="330" t="str">
        <f t="shared" si="2"/>
        <v/>
      </c>
      <c r="K43" s="743"/>
      <c r="L43" s="424"/>
      <c r="M43" s="38"/>
      <c r="N43" s="38"/>
      <c r="O43" s="38"/>
      <c r="P43" s="38"/>
      <c r="Q43" s="38"/>
      <c r="R43" s="38"/>
      <c r="S43" s="38"/>
      <c r="T43" s="38"/>
      <c r="U43" s="38"/>
      <c r="V43" s="38"/>
      <c r="W43" s="38"/>
    </row>
    <row r="44" spans="1:23" ht="11.25" hidden="1" customHeight="1" x14ac:dyDescent="0.25">
      <c r="A44" s="407">
        <f>'Org structure'!E66</f>
        <v>0</v>
      </c>
      <c r="B44" s="445"/>
      <c r="C44" s="739"/>
      <c r="D44" s="740"/>
      <c r="E44" s="741"/>
      <c r="F44" s="742"/>
      <c r="G44" s="741"/>
      <c r="H44" s="742"/>
      <c r="I44" s="44">
        <f t="shared" ref="I44:I107" si="13">G44-H44</f>
        <v>0</v>
      </c>
      <c r="J44" s="330" t="str">
        <f t="shared" ref="J44:J107" si="14">IF(I44=0,"",I44/H44)</f>
        <v/>
      </c>
      <c r="K44" s="743"/>
      <c r="L44" s="424"/>
      <c r="M44" s="38"/>
      <c r="N44" s="38"/>
      <c r="O44" s="38"/>
      <c r="P44" s="38"/>
      <c r="Q44" s="38"/>
      <c r="R44" s="38"/>
      <c r="S44" s="38"/>
      <c r="T44" s="38"/>
      <c r="U44" s="38"/>
      <c r="V44" s="38"/>
      <c r="W44" s="38"/>
    </row>
    <row r="45" spans="1:23" ht="11.25" hidden="1" customHeight="1" x14ac:dyDescent="0.25">
      <c r="A45" s="407">
        <f>'Org structure'!E67</f>
        <v>0</v>
      </c>
      <c r="B45" s="445"/>
      <c r="C45" s="739"/>
      <c r="D45" s="740"/>
      <c r="E45" s="741"/>
      <c r="F45" s="742"/>
      <c r="G45" s="741"/>
      <c r="H45" s="742"/>
      <c r="I45" s="44">
        <f t="shared" si="13"/>
        <v>0</v>
      </c>
      <c r="J45" s="330" t="str">
        <f t="shared" si="14"/>
        <v/>
      </c>
      <c r="K45" s="743"/>
      <c r="L45" s="424"/>
      <c r="M45" s="38"/>
      <c r="N45" s="38"/>
      <c r="O45" s="38"/>
      <c r="P45" s="38"/>
      <c r="Q45" s="38"/>
      <c r="R45" s="38"/>
      <c r="S45" s="38"/>
      <c r="T45" s="38"/>
      <c r="U45" s="38"/>
      <c r="V45" s="38"/>
      <c r="W45" s="38"/>
    </row>
    <row r="46" spans="1:23" ht="11.25" hidden="1" customHeight="1" x14ac:dyDescent="0.25">
      <c r="A46" s="466" t="str">
        <f>'Org structure'!A8</f>
        <v>Vote 7 - [NAME OF VOTE 7]</v>
      </c>
      <c r="B46" s="440"/>
      <c r="C46" s="503">
        <f t="shared" ref="C46:K46" si="15">SUM(C47:C56)</f>
        <v>0</v>
      </c>
      <c r="D46" s="444">
        <f t="shared" si="15"/>
        <v>0</v>
      </c>
      <c r="E46" s="441">
        <f t="shared" si="15"/>
        <v>0</v>
      </c>
      <c r="F46" s="443">
        <f t="shared" si="15"/>
        <v>0</v>
      </c>
      <c r="G46" s="441">
        <f t="shared" si="15"/>
        <v>0</v>
      </c>
      <c r="H46" s="443">
        <f t="shared" si="15"/>
        <v>0</v>
      </c>
      <c r="I46" s="44">
        <f t="shared" si="13"/>
        <v>0</v>
      </c>
      <c r="J46" s="330" t="str">
        <f t="shared" si="14"/>
        <v/>
      </c>
      <c r="K46" s="442">
        <f t="shared" si="15"/>
        <v>0</v>
      </c>
      <c r="L46" s="424"/>
      <c r="M46" s="38"/>
      <c r="N46" s="38"/>
      <c r="O46" s="38"/>
      <c r="P46" s="38"/>
      <c r="Q46" s="38"/>
      <c r="R46" s="38"/>
      <c r="S46" s="38"/>
      <c r="T46" s="38"/>
      <c r="U46" s="38"/>
      <c r="V46" s="38"/>
      <c r="W46" s="38"/>
    </row>
    <row r="47" spans="1:23" ht="11.25" hidden="1" customHeight="1" x14ac:dyDescent="0.25">
      <c r="A47" s="407" t="str">
        <f>'Org structure'!E69</f>
        <v>7.1 - [Name of sub-vote]</v>
      </c>
      <c r="B47" s="445"/>
      <c r="C47" s="739"/>
      <c r="D47" s="740"/>
      <c r="E47" s="741"/>
      <c r="F47" s="742"/>
      <c r="G47" s="741"/>
      <c r="H47" s="742"/>
      <c r="I47" s="44">
        <f t="shared" si="13"/>
        <v>0</v>
      </c>
      <c r="J47" s="330" t="str">
        <f t="shared" si="14"/>
        <v/>
      </c>
      <c r="K47" s="743"/>
      <c r="L47" s="424"/>
      <c r="M47" s="38"/>
      <c r="N47" s="38"/>
      <c r="O47" s="38"/>
      <c r="P47" s="38"/>
      <c r="Q47" s="38"/>
      <c r="R47" s="38"/>
      <c r="S47" s="38"/>
      <c r="T47" s="38"/>
      <c r="U47" s="38"/>
      <c r="V47" s="38"/>
      <c r="W47" s="38"/>
    </row>
    <row r="48" spans="1:23" ht="11.25" hidden="1" customHeight="1" x14ac:dyDescent="0.25">
      <c r="A48" s="407">
        <f>'Org structure'!E70</f>
        <v>0</v>
      </c>
      <c r="B48" s="445"/>
      <c r="C48" s="739"/>
      <c r="D48" s="740"/>
      <c r="E48" s="741"/>
      <c r="F48" s="742"/>
      <c r="G48" s="741"/>
      <c r="H48" s="742"/>
      <c r="I48" s="44">
        <f t="shared" si="13"/>
        <v>0</v>
      </c>
      <c r="J48" s="330" t="str">
        <f t="shared" si="14"/>
        <v/>
      </c>
      <c r="K48" s="743"/>
      <c r="L48" s="424"/>
      <c r="M48" s="38"/>
      <c r="N48" s="38"/>
      <c r="O48" s="38"/>
      <c r="P48" s="38"/>
      <c r="Q48" s="38"/>
      <c r="R48" s="38"/>
      <c r="S48" s="38"/>
      <c r="T48" s="38"/>
      <c r="U48" s="38"/>
      <c r="V48" s="38"/>
      <c r="W48" s="38"/>
    </row>
    <row r="49" spans="1:23" ht="11.25" hidden="1" customHeight="1" x14ac:dyDescent="0.25">
      <c r="A49" s="407">
        <f>'Org structure'!E71</f>
        <v>0</v>
      </c>
      <c r="B49" s="445"/>
      <c r="C49" s="739"/>
      <c r="D49" s="740"/>
      <c r="E49" s="741"/>
      <c r="F49" s="742"/>
      <c r="G49" s="741"/>
      <c r="H49" s="742"/>
      <c r="I49" s="44">
        <f t="shared" si="13"/>
        <v>0</v>
      </c>
      <c r="J49" s="330" t="str">
        <f t="shared" si="14"/>
        <v/>
      </c>
      <c r="K49" s="743"/>
      <c r="L49" s="424"/>
      <c r="M49" s="38"/>
      <c r="N49" s="38"/>
      <c r="O49" s="38"/>
      <c r="P49" s="38"/>
      <c r="Q49" s="38"/>
      <c r="R49" s="38"/>
      <c r="S49" s="38"/>
      <c r="T49" s="38"/>
      <c r="U49" s="38"/>
      <c r="V49" s="38"/>
      <c r="W49" s="38"/>
    </row>
    <row r="50" spans="1:23" ht="11.25" hidden="1" customHeight="1" x14ac:dyDescent="0.25">
      <c r="A50" s="407">
        <f>'Org structure'!E72</f>
        <v>0</v>
      </c>
      <c r="B50" s="445"/>
      <c r="C50" s="739"/>
      <c r="D50" s="740"/>
      <c r="E50" s="741"/>
      <c r="F50" s="742"/>
      <c r="G50" s="741"/>
      <c r="H50" s="742"/>
      <c r="I50" s="44">
        <f t="shared" si="13"/>
        <v>0</v>
      </c>
      <c r="J50" s="330" t="str">
        <f t="shared" si="14"/>
        <v/>
      </c>
      <c r="K50" s="743"/>
      <c r="L50" s="424"/>
      <c r="M50" s="38"/>
      <c r="N50" s="38"/>
      <c r="O50" s="38"/>
      <c r="P50" s="38"/>
      <c r="Q50" s="38"/>
      <c r="R50" s="38"/>
      <c r="S50" s="38"/>
      <c r="T50" s="38"/>
      <c r="U50" s="38"/>
      <c r="V50" s="38"/>
      <c r="W50" s="38"/>
    </row>
    <row r="51" spans="1:23" ht="11.25" hidden="1" customHeight="1" x14ac:dyDescent="0.25">
      <c r="A51" s="407">
        <f>'Org structure'!E73</f>
        <v>0</v>
      </c>
      <c r="B51" s="445"/>
      <c r="C51" s="739"/>
      <c r="D51" s="740"/>
      <c r="E51" s="741"/>
      <c r="F51" s="742"/>
      <c r="G51" s="741"/>
      <c r="H51" s="742"/>
      <c r="I51" s="44">
        <f t="shared" si="13"/>
        <v>0</v>
      </c>
      <c r="J51" s="330" t="str">
        <f t="shared" si="14"/>
        <v/>
      </c>
      <c r="K51" s="743"/>
      <c r="L51" s="424"/>
      <c r="M51" s="38"/>
      <c r="N51" s="38"/>
      <c r="O51" s="38"/>
      <c r="P51" s="38"/>
      <c r="Q51" s="38"/>
      <c r="R51" s="38"/>
      <c r="S51" s="38"/>
      <c r="T51" s="38"/>
      <c r="U51" s="38"/>
      <c r="V51" s="38"/>
      <c r="W51" s="38"/>
    </row>
    <row r="52" spans="1:23" ht="11.25" hidden="1" customHeight="1" x14ac:dyDescent="0.25">
      <c r="A52" s="407">
        <f>'Org structure'!E74</f>
        <v>0</v>
      </c>
      <c r="B52" s="445"/>
      <c r="C52" s="739"/>
      <c r="D52" s="740"/>
      <c r="E52" s="741"/>
      <c r="F52" s="742"/>
      <c r="G52" s="741"/>
      <c r="H52" s="742"/>
      <c r="I52" s="44">
        <f t="shared" si="13"/>
        <v>0</v>
      </c>
      <c r="J52" s="330" t="str">
        <f t="shared" si="14"/>
        <v/>
      </c>
      <c r="K52" s="743"/>
      <c r="L52" s="446"/>
      <c r="M52" s="40"/>
      <c r="N52" s="40"/>
      <c r="O52" s="40"/>
      <c r="P52" s="40"/>
      <c r="Q52" s="40"/>
      <c r="R52" s="40"/>
      <c r="S52" s="40"/>
      <c r="T52" s="40"/>
      <c r="U52" s="40"/>
      <c r="V52" s="40"/>
      <c r="W52" s="40"/>
    </row>
    <row r="53" spans="1:23" ht="11.25" hidden="1" customHeight="1" x14ac:dyDescent="0.25">
      <c r="A53" s="407">
        <f>'Org structure'!E75</f>
        <v>0</v>
      </c>
      <c r="B53" s="445"/>
      <c r="C53" s="739"/>
      <c r="D53" s="740"/>
      <c r="E53" s="741"/>
      <c r="F53" s="742"/>
      <c r="G53" s="741"/>
      <c r="H53" s="742"/>
      <c r="I53" s="44">
        <f t="shared" si="13"/>
        <v>0</v>
      </c>
      <c r="J53" s="330" t="str">
        <f t="shared" si="14"/>
        <v/>
      </c>
      <c r="K53" s="743"/>
      <c r="L53" s="446"/>
      <c r="M53" s="40"/>
      <c r="N53" s="40"/>
      <c r="O53" s="40"/>
      <c r="P53" s="40"/>
      <c r="Q53" s="40"/>
      <c r="R53" s="40"/>
      <c r="S53" s="40"/>
      <c r="T53" s="40"/>
      <c r="U53" s="40"/>
      <c r="V53" s="40"/>
      <c r="W53" s="40"/>
    </row>
    <row r="54" spans="1:23" ht="11.25" hidden="1" customHeight="1" x14ac:dyDescent="0.25">
      <c r="A54" s="407">
        <f>'Org structure'!E76</f>
        <v>0</v>
      </c>
      <c r="B54" s="445"/>
      <c r="C54" s="739"/>
      <c r="D54" s="740"/>
      <c r="E54" s="741"/>
      <c r="F54" s="742"/>
      <c r="G54" s="741"/>
      <c r="H54" s="742"/>
      <c r="I54" s="44">
        <f t="shared" si="13"/>
        <v>0</v>
      </c>
      <c r="J54" s="330" t="str">
        <f t="shared" si="14"/>
        <v/>
      </c>
      <c r="K54" s="743"/>
      <c r="L54" s="446"/>
      <c r="M54" s="40"/>
      <c r="N54" s="40"/>
      <c r="O54" s="40"/>
      <c r="P54" s="40"/>
      <c r="Q54" s="40"/>
      <c r="R54" s="40"/>
      <c r="S54" s="40"/>
      <c r="T54" s="40"/>
      <c r="U54" s="40"/>
      <c r="V54" s="40"/>
      <c r="W54" s="40"/>
    </row>
    <row r="55" spans="1:23" ht="11.25" hidden="1" customHeight="1" x14ac:dyDescent="0.25">
      <c r="A55" s="407">
        <f>'Org structure'!E77</f>
        <v>0</v>
      </c>
      <c r="B55" s="445"/>
      <c r="C55" s="739"/>
      <c r="D55" s="740"/>
      <c r="E55" s="741"/>
      <c r="F55" s="742"/>
      <c r="G55" s="741"/>
      <c r="H55" s="742"/>
      <c r="I55" s="44">
        <f t="shared" si="13"/>
        <v>0</v>
      </c>
      <c r="J55" s="330" t="str">
        <f t="shared" si="14"/>
        <v/>
      </c>
      <c r="K55" s="743"/>
      <c r="L55" s="446"/>
      <c r="M55" s="40"/>
      <c r="N55" s="40"/>
      <c r="O55" s="40"/>
      <c r="P55" s="40"/>
      <c r="Q55" s="40"/>
      <c r="R55" s="40"/>
      <c r="S55" s="40"/>
      <c r="T55" s="40"/>
      <c r="U55" s="40"/>
      <c r="V55" s="40"/>
      <c r="W55" s="40"/>
    </row>
    <row r="56" spans="1:23" ht="11.25" hidden="1" customHeight="1" x14ac:dyDescent="0.25">
      <c r="A56" s="407">
        <f>'Org structure'!E78</f>
        <v>0</v>
      </c>
      <c r="B56" s="445"/>
      <c r="C56" s="739"/>
      <c r="D56" s="740"/>
      <c r="E56" s="741"/>
      <c r="F56" s="742"/>
      <c r="G56" s="741"/>
      <c r="H56" s="742"/>
      <c r="I56" s="44">
        <f t="shared" si="13"/>
        <v>0</v>
      </c>
      <c r="J56" s="330" t="str">
        <f t="shared" si="14"/>
        <v/>
      </c>
      <c r="K56" s="743"/>
      <c r="L56" s="446"/>
      <c r="M56" s="40"/>
      <c r="N56" s="40"/>
      <c r="O56" s="40"/>
      <c r="P56" s="40"/>
      <c r="Q56" s="40"/>
      <c r="R56" s="40"/>
      <c r="S56" s="40"/>
      <c r="T56" s="40"/>
      <c r="U56" s="40"/>
      <c r="V56" s="40"/>
      <c r="W56" s="40"/>
    </row>
    <row r="57" spans="1:23" ht="11.25" hidden="1" customHeight="1" x14ac:dyDescent="0.25">
      <c r="A57" s="466" t="str">
        <f>'Org structure'!A9</f>
        <v>Vote 8 - [NAME OF VOTE 8]</v>
      </c>
      <c r="B57" s="445"/>
      <c r="C57" s="503">
        <f>SUM(C58:C67)</f>
        <v>0</v>
      </c>
      <c r="D57" s="444">
        <f t="shared" ref="D57:K57" si="16">SUM(D58:D67)</f>
        <v>0</v>
      </c>
      <c r="E57" s="441">
        <f t="shared" si="16"/>
        <v>0</v>
      </c>
      <c r="F57" s="443">
        <f t="shared" si="16"/>
        <v>0</v>
      </c>
      <c r="G57" s="441">
        <f t="shared" si="16"/>
        <v>0</v>
      </c>
      <c r="H57" s="443">
        <f t="shared" si="16"/>
        <v>0</v>
      </c>
      <c r="I57" s="44">
        <f t="shared" si="13"/>
        <v>0</v>
      </c>
      <c r="J57" s="330" t="str">
        <f t="shared" si="14"/>
        <v/>
      </c>
      <c r="K57" s="442">
        <f t="shared" si="16"/>
        <v>0</v>
      </c>
      <c r="L57" s="446"/>
      <c r="M57" s="40"/>
      <c r="N57" s="40"/>
      <c r="O57" s="40"/>
      <c r="P57" s="40"/>
      <c r="Q57" s="40"/>
      <c r="R57" s="40"/>
      <c r="S57" s="40"/>
      <c r="T57" s="40"/>
      <c r="U57" s="40"/>
      <c r="V57" s="40"/>
      <c r="W57" s="40"/>
    </row>
    <row r="58" spans="1:23" ht="11.25" hidden="1" customHeight="1" x14ac:dyDescent="0.25">
      <c r="A58" s="407" t="str">
        <f>'Org structure'!E80</f>
        <v>8.1 - [Name of sub-vote]</v>
      </c>
      <c r="B58" s="445"/>
      <c r="C58" s="739"/>
      <c r="D58" s="740"/>
      <c r="E58" s="741"/>
      <c r="F58" s="742"/>
      <c r="G58" s="741"/>
      <c r="H58" s="742"/>
      <c r="I58" s="44">
        <f t="shared" si="13"/>
        <v>0</v>
      </c>
      <c r="J58" s="330" t="str">
        <f t="shared" si="14"/>
        <v/>
      </c>
      <c r="K58" s="743"/>
      <c r="L58" s="446"/>
      <c r="M58" s="40"/>
      <c r="N58" s="40"/>
      <c r="O58" s="40"/>
      <c r="P58" s="40"/>
      <c r="Q58" s="40"/>
      <c r="R58" s="40"/>
      <c r="S58" s="40"/>
      <c r="T58" s="40"/>
      <c r="U58" s="40"/>
      <c r="V58" s="40"/>
      <c r="W58" s="40"/>
    </row>
    <row r="59" spans="1:23" ht="11.25" hidden="1" customHeight="1" x14ac:dyDescent="0.25">
      <c r="A59" s="407">
        <f>'Org structure'!E81</f>
        <v>0</v>
      </c>
      <c r="B59" s="445"/>
      <c r="C59" s="739"/>
      <c r="D59" s="740"/>
      <c r="E59" s="741"/>
      <c r="F59" s="742"/>
      <c r="G59" s="741"/>
      <c r="H59" s="742"/>
      <c r="I59" s="44">
        <f t="shared" si="13"/>
        <v>0</v>
      </c>
      <c r="J59" s="330" t="str">
        <f t="shared" si="14"/>
        <v/>
      </c>
      <c r="K59" s="743"/>
      <c r="L59" s="446"/>
      <c r="M59" s="40"/>
      <c r="N59" s="40"/>
      <c r="O59" s="40"/>
      <c r="P59" s="40"/>
      <c r="Q59" s="40"/>
      <c r="R59" s="40"/>
      <c r="S59" s="40"/>
      <c r="T59" s="40"/>
      <c r="U59" s="40"/>
      <c r="V59" s="40"/>
      <c r="W59" s="40"/>
    </row>
    <row r="60" spans="1:23" ht="11.25" hidden="1" customHeight="1" x14ac:dyDescent="0.25">
      <c r="A60" s="407">
        <f>'Org structure'!E82</f>
        <v>0</v>
      </c>
      <c r="B60" s="445"/>
      <c r="C60" s="739"/>
      <c r="D60" s="740"/>
      <c r="E60" s="741"/>
      <c r="F60" s="742"/>
      <c r="G60" s="741"/>
      <c r="H60" s="742"/>
      <c r="I60" s="44">
        <f t="shared" si="13"/>
        <v>0</v>
      </c>
      <c r="J60" s="330" t="str">
        <f t="shared" si="14"/>
        <v/>
      </c>
      <c r="K60" s="743"/>
      <c r="L60" s="446"/>
      <c r="M60" s="40"/>
      <c r="N60" s="40"/>
      <c r="O60" s="40"/>
      <c r="P60" s="40"/>
      <c r="Q60" s="40"/>
      <c r="R60" s="40"/>
      <c r="S60" s="40"/>
      <c r="T60" s="40"/>
      <c r="U60" s="40"/>
      <c r="V60" s="40"/>
      <c r="W60" s="40"/>
    </row>
    <row r="61" spans="1:23" ht="11.25" hidden="1" customHeight="1" x14ac:dyDescent="0.25">
      <c r="A61" s="407">
        <f>'Org structure'!E83</f>
        <v>0</v>
      </c>
      <c r="B61" s="445"/>
      <c r="C61" s="739"/>
      <c r="D61" s="740"/>
      <c r="E61" s="741"/>
      <c r="F61" s="742"/>
      <c r="G61" s="741"/>
      <c r="H61" s="742"/>
      <c r="I61" s="44">
        <f t="shared" si="13"/>
        <v>0</v>
      </c>
      <c r="J61" s="330" t="str">
        <f t="shared" si="14"/>
        <v/>
      </c>
      <c r="K61" s="743"/>
      <c r="L61" s="446"/>
      <c r="M61" s="40"/>
      <c r="N61" s="40"/>
      <c r="O61" s="40"/>
      <c r="P61" s="40"/>
      <c r="Q61" s="40"/>
      <c r="R61" s="40"/>
      <c r="S61" s="40"/>
      <c r="T61" s="40"/>
      <c r="U61" s="40"/>
      <c r="V61" s="40"/>
      <c r="W61" s="40"/>
    </row>
    <row r="62" spans="1:23" ht="11.25" hidden="1" customHeight="1" x14ac:dyDescent="0.25">
      <c r="A62" s="407">
        <f>'Org structure'!E84</f>
        <v>0</v>
      </c>
      <c r="B62" s="445"/>
      <c r="C62" s="739"/>
      <c r="D62" s="740"/>
      <c r="E62" s="741"/>
      <c r="F62" s="742"/>
      <c r="G62" s="741"/>
      <c r="H62" s="742"/>
      <c r="I62" s="44">
        <f t="shared" si="13"/>
        <v>0</v>
      </c>
      <c r="J62" s="330" t="str">
        <f t="shared" si="14"/>
        <v/>
      </c>
      <c r="K62" s="743"/>
      <c r="L62" s="446"/>
      <c r="M62" s="40"/>
      <c r="N62" s="40"/>
      <c r="O62" s="40"/>
      <c r="P62" s="40"/>
      <c r="Q62" s="40"/>
      <c r="R62" s="40"/>
      <c r="S62" s="40"/>
      <c r="T62" s="40"/>
      <c r="U62" s="40"/>
      <c r="V62" s="40"/>
      <c r="W62" s="40"/>
    </row>
    <row r="63" spans="1:23" ht="11.25" hidden="1" customHeight="1" x14ac:dyDescent="0.25">
      <c r="A63" s="407">
        <f>'Org structure'!E85</f>
        <v>0</v>
      </c>
      <c r="B63" s="445"/>
      <c r="C63" s="739"/>
      <c r="D63" s="740"/>
      <c r="E63" s="741"/>
      <c r="F63" s="742"/>
      <c r="G63" s="741"/>
      <c r="H63" s="742"/>
      <c r="I63" s="44">
        <f t="shared" si="13"/>
        <v>0</v>
      </c>
      <c r="J63" s="330" t="str">
        <f t="shared" si="14"/>
        <v/>
      </c>
      <c r="K63" s="743"/>
      <c r="L63" s="446"/>
      <c r="M63" s="40"/>
      <c r="N63" s="40"/>
      <c r="O63" s="40"/>
      <c r="P63" s="40"/>
      <c r="Q63" s="40"/>
      <c r="R63" s="40"/>
      <c r="S63" s="40"/>
      <c r="T63" s="40"/>
      <c r="U63" s="40"/>
      <c r="V63" s="40"/>
      <c r="W63" s="40"/>
    </row>
    <row r="64" spans="1:23" ht="11.25" hidden="1" customHeight="1" x14ac:dyDescent="0.25">
      <c r="A64" s="407">
        <f>'Org structure'!E86</f>
        <v>0</v>
      </c>
      <c r="B64" s="445"/>
      <c r="C64" s="739"/>
      <c r="D64" s="740"/>
      <c r="E64" s="741"/>
      <c r="F64" s="742"/>
      <c r="G64" s="741"/>
      <c r="H64" s="742"/>
      <c r="I64" s="44">
        <f t="shared" si="13"/>
        <v>0</v>
      </c>
      <c r="J64" s="330" t="str">
        <f t="shared" si="14"/>
        <v/>
      </c>
      <c r="K64" s="743"/>
      <c r="L64" s="446"/>
      <c r="M64" s="40"/>
      <c r="N64" s="40"/>
      <c r="O64" s="40"/>
      <c r="P64" s="40"/>
      <c r="Q64" s="40"/>
      <c r="R64" s="40"/>
      <c r="S64" s="40"/>
      <c r="T64" s="40"/>
      <c r="U64" s="40"/>
      <c r="V64" s="40"/>
      <c r="W64" s="40"/>
    </row>
    <row r="65" spans="1:23" ht="11.25" hidden="1" customHeight="1" x14ac:dyDescent="0.25">
      <c r="A65" s="407">
        <f>'Org structure'!E87</f>
        <v>0</v>
      </c>
      <c r="B65" s="445"/>
      <c r="C65" s="739"/>
      <c r="D65" s="740"/>
      <c r="E65" s="741"/>
      <c r="F65" s="742"/>
      <c r="G65" s="741"/>
      <c r="H65" s="742"/>
      <c r="I65" s="44">
        <f t="shared" si="13"/>
        <v>0</v>
      </c>
      <c r="J65" s="330" t="str">
        <f t="shared" si="14"/>
        <v/>
      </c>
      <c r="K65" s="743"/>
      <c r="L65" s="446"/>
      <c r="M65" s="40"/>
      <c r="N65" s="40"/>
      <c r="O65" s="40"/>
      <c r="P65" s="40"/>
      <c r="Q65" s="40"/>
      <c r="R65" s="40"/>
      <c r="S65" s="40"/>
      <c r="T65" s="40"/>
      <c r="U65" s="40"/>
      <c r="V65" s="40"/>
      <c r="W65" s="40"/>
    </row>
    <row r="66" spans="1:23" ht="11.25" hidden="1" customHeight="1" x14ac:dyDescent="0.25">
      <c r="A66" s="407">
        <f>'Org structure'!E88</f>
        <v>0</v>
      </c>
      <c r="B66" s="445"/>
      <c r="C66" s="739"/>
      <c r="D66" s="740"/>
      <c r="E66" s="741"/>
      <c r="F66" s="742"/>
      <c r="G66" s="741"/>
      <c r="H66" s="742"/>
      <c r="I66" s="44">
        <f t="shared" si="13"/>
        <v>0</v>
      </c>
      <c r="J66" s="330" t="str">
        <f t="shared" si="14"/>
        <v/>
      </c>
      <c r="K66" s="743"/>
      <c r="L66" s="446"/>
      <c r="M66" s="40"/>
      <c r="N66" s="40"/>
      <c r="O66" s="40"/>
      <c r="P66" s="40"/>
      <c r="Q66" s="40"/>
      <c r="R66" s="40"/>
      <c r="S66" s="40"/>
      <c r="T66" s="40"/>
      <c r="U66" s="40"/>
      <c r="V66" s="40"/>
      <c r="W66" s="40"/>
    </row>
    <row r="67" spans="1:23" ht="11.25" hidden="1" customHeight="1" x14ac:dyDescent="0.25">
      <c r="A67" s="407">
        <f>'Org structure'!E89</f>
        <v>0</v>
      </c>
      <c r="B67" s="445"/>
      <c r="C67" s="739"/>
      <c r="D67" s="740"/>
      <c r="E67" s="741"/>
      <c r="F67" s="742"/>
      <c r="G67" s="741"/>
      <c r="H67" s="742"/>
      <c r="I67" s="44">
        <f t="shared" si="13"/>
        <v>0</v>
      </c>
      <c r="J67" s="330" t="str">
        <f t="shared" si="14"/>
        <v/>
      </c>
      <c r="K67" s="743"/>
      <c r="L67" s="446"/>
      <c r="M67" s="40"/>
      <c r="N67" s="40"/>
      <c r="O67" s="40"/>
      <c r="P67" s="40"/>
      <c r="Q67" s="40"/>
      <c r="R67" s="40"/>
      <c r="S67" s="40"/>
      <c r="T67" s="40"/>
      <c r="U67" s="40"/>
      <c r="V67" s="40"/>
      <c r="W67" s="40"/>
    </row>
    <row r="68" spans="1:23" ht="11.25" hidden="1" customHeight="1" x14ac:dyDescent="0.25">
      <c r="A68" s="466" t="str">
        <f>'Org structure'!A10</f>
        <v>Vote 9 - [NAME OF VOTE 9]</v>
      </c>
      <c r="B68" s="445"/>
      <c r="C68" s="503">
        <f>SUM(C69:C78)</f>
        <v>0</v>
      </c>
      <c r="D68" s="444">
        <f t="shared" ref="D68:K68" si="17">SUM(D69:D78)</f>
        <v>0</v>
      </c>
      <c r="E68" s="441">
        <f t="shared" si="17"/>
        <v>0</v>
      </c>
      <c r="F68" s="443">
        <f t="shared" si="17"/>
        <v>0</v>
      </c>
      <c r="G68" s="441">
        <f t="shared" si="17"/>
        <v>0</v>
      </c>
      <c r="H68" s="443">
        <f t="shared" si="17"/>
        <v>0</v>
      </c>
      <c r="I68" s="44">
        <f t="shared" si="13"/>
        <v>0</v>
      </c>
      <c r="J68" s="330" t="str">
        <f t="shared" si="14"/>
        <v/>
      </c>
      <c r="K68" s="442">
        <f t="shared" si="17"/>
        <v>0</v>
      </c>
      <c r="L68" s="446"/>
      <c r="M68" s="40"/>
      <c r="N68" s="40"/>
      <c r="O68" s="40"/>
      <c r="P68" s="40"/>
      <c r="Q68" s="40"/>
      <c r="R68" s="40"/>
      <c r="S68" s="40"/>
      <c r="T68" s="40"/>
      <c r="U68" s="40"/>
      <c r="V68" s="40"/>
      <c r="W68" s="40"/>
    </row>
    <row r="69" spans="1:23" ht="11.25" hidden="1" customHeight="1" x14ac:dyDescent="0.25">
      <c r="A69" s="407" t="str">
        <f>'Org structure'!E91</f>
        <v>9.1 - [Name of sub-vote]</v>
      </c>
      <c r="B69" s="445"/>
      <c r="C69" s="739"/>
      <c r="D69" s="740"/>
      <c r="E69" s="741"/>
      <c r="F69" s="742"/>
      <c r="G69" s="741"/>
      <c r="H69" s="742"/>
      <c r="I69" s="44">
        <f t="shared" si="13"/>
        <v>0</v>
      </c>
      <c r="J69" s="330" t="str">
        <f t="shared" si="14"/>
        <v/>
      </c>
      <c r="K69" s="743"/>
      <c r="L69" s="446"/>
      <c r="M69" s="40"/>
      <c r="N69" s="40"/>
      <c r="O69" s="40"/>
      <c r="P69" s="40"/>
      <c r="Q69" s="40"/>
      <c r="R69" s="40"/>
      <c r="S69" s="40"/>
      <c r="T69" s="40"/>
      <c r="U69" s="40"/>
      <c r="V69" s="40"/>
      <c r="W69" s="40"/>
    </row>
    <row r="70" spans="1:23" ht="11.25" hidden="1" customHeight="1" x14ac:dyDescent="0.25">
      <c r="A70" s="407">
        <f>'Org structure'!E92</f>
        <v>0</v>
      </c>
      <c r="B70" s="445"/>
      <c r="C70" s="739"/>
      <c r="D70" s="740"/>
      <c r="E70" s="741"/>
      <c r="F70" s="742"/>
      <c r="G70" s="741"/>
      <c r="H70" s="742"/>
      <c r="I70" s="44">
        <f t="shared" si="13"/>
        <v>0</v>
      </c>
      <c r="J70" s="330" t="str">
        <f t="shared" si="14"/>
        <v/>
      </c>
      <c r="K70" s="743"/>
      <c r="L70" s="446"/>
      <c r="M70" s="40"/>
      <c r="N70" s="40"/>
      <c r="O70" s="40"/>
      <c r="P70" s="40"/>
      <c r="Q70" s="40"/>
      <c r="R70" s="40"/>
      <c r="S70" s="40"/>
      <c r="T70" s="40"/>
      <c r="U70" s="40"/>
      <c r="V70" s="40"/>
      <c r="W70" s="40"/>
    </row>
    <row r="71" spans="1:23" ht="11.25" hidden="1" customHeight="1" x14ac:dyDescent="0.25">
      <c r="A71" s="407">
        <f>'Org structure'!E93</f>
        <v>0</v>
      </c>
      <c r="B71" s="445"/>
      <c r="C71" s="739"/>
      <c r="D71" s="740"/>
      <c r="E71" s="741"/>
      <c r="F71" s="742"/>
      <c r="G71" s="741"/>
      <c r="H71" s="742"/>
      <c r="I71" s="44">
        <f t="shared" si="13"/>
        <v>0</v>
      </c>
      <c r="J71" s="330" t="str">
        <f t="shared" si="14"/>
        <v/>
      </c>
      <c r="K71" s="743"/>
      <c r="L71" s="446"/>
      <c r="M71" s="40"/>
      <c r="N71" s="40"/>
      <c r="O71" s="40"/>
      <c r="P71" s="40"/>
      <c r="Q71" s="40"/>
      <c r="R71" s="40"/>
      <c r="S71" s="40"/>
      <c r="T71" s="40"/>
      <c r="U71" s="40"/>
      <c r="V71" s="40"/>
      <c r="W71" s="40"/>
    </row>
    <row r="72" spans="1:23" ht="11.25" hidden="1" customHeight="1" x14ac:dyDescent="0.25">
      <c r="A72" s="407">
        <f>'Org structure'!E94</f>
        <v>0</v>
      </c>
      <c r="B72" s="445"/>
      <c r="C72" s="739"/>
      <c r="D72" s="740"/>
      <c r="E72" s="741"/>
      <c r="F72" s="742"/>
      <c r="G72" s="741"/>
      <c r="H72" s="742"/>
      <c r="I72" s="44">
        <f t="shared" si="13"/>
        <v>0</v>
      </c>
      <c r="J72" s="330" t="str">
        <f t="shared" si="14"/>
        <v/>
      </c>
      <c r="K72" s="743"/>
      <c r="L72" s="446"/>
      <c r="M72" s="40"/>
      <c r="N72" s="40"/>
      <c r="O72" s="40"/>
      <c r="P72" s="40"/>
      <c r="Q72" s="40"/>
      <c r="R72" s="40"/>
      <c r="S72" s="40"/>
      <c r="T72" s="40"/>
      <c r="U72" s="40"/>
      <c r="V72" s="40"/>
      <c r="W72" s="40"/>
    </row>
    <row r="73" spans="1:23" ht="11.25" hidden="1" customHeight="1" x14ac:dyDescent="0.25">
      <c r="A73" s="407">
        <f>'Org structure'!E95</f>
        <v>0</v>
      </c>
      <c r="B73" s="445"/>
      <c r="C73" s="739"/>
      <c r="D73" s="740"/>
      <c r="E73" s="741"/>
      <c r="F73" s="742"/>
      <c r="G73" s="741"/>
      <c r="H73" s="742"/>
      <c r="I73" s="44">
        <f t="shared" si="13"/>
        <v>0</v>
      </c>
      <c r="J73" s="330" t="str">
        <f t="shared" si="14"/>
        <v/>
      </c>
      <c r="K73" s="743"/>
      <c r="L73" s="446"/>
      <c r="M73" s="40"/>
      <c r="N73" s="40"/>
      <c r="O73" s="40"/>
      <c r="P73" s="40"/>
      <c r="Q73" s="40"/>
      <c r="R73" s="40"/>
      <c r="S73" s="40"/>
      <c r="T73" s="40"/>
      <c r="U73" s="40"/>
      <c r="V73" s="40"/>
      <c r="W73" s="40"/>
    </row>
    <row r="74" spans="1:23" ht="11.25" hidden="1" customHeight="1" x14ac:dyDescent="0.25">
      <c r="A74" s="407">
        <f>'Org structure'!E96</f>
        <v>0</v>
      </c>
      <c r="B74" s="445"/>
      <c r="C74" s="739"/>
      <c r="D74" s="740"/>
      <c r="E74" s="741"/>
      <c r="F74" s="742"/>
      <c r="G74" s="741"/>
      <c r="H74" s="742"/>
      <c r="I74" s="44">
        <f t="shared" si="13"/>
        <v>0</v>
      </c>
      <c r="J74" s="330" t="str">
        <f t="shared" si="14"/>
        <v/>
      </c>
      <c r="K74" s="743"/>
      <c r="L74" s="446"/>
      <c r="M74" s="40"/>
      <c r="N74" s="40"/>
      <c r="O74" s="40"/>
      <c r="P74" s="40"/>
      <c r="Q74" s="40"/>
      <c r="R74" s="40"/>
      <c r="S74" s="40"/>
      <c r="T74" s="40"/>
      <c r="U74" s="40"/>
      <c r="V74" s="40"/>
      <c r="W74" s="40"/>
    </row>
    <row r="75" spans="1:23" ht="11.25" hidden="1" customHeight="1" x14ac:dyDescent="0.25">
      <c r="A75" s="407">
        <f>'Org structure'!E97</f>
        <v>0</v>
      </c>
      <c r="B75" s="445"/>
      <c r="C75" s="739"/>
      <c r="D75" s="740"/>
      <c r="E75" s="741"/>
      <c r="F75" s="742"/>
      <c r="G75" s="741"/>
      <c r="H75" s="742"/>
      <c r="I75" s="44">
        <f t="shared" si="13"/>
        <v>0</v>
      </c>
      <c r="J75" s="330" t="str">
        <f t="shared" si="14"/>
        <v/>
      </c>
      <c r="K75" s="743"/>
      <c r="L75" s="446"/>
      <c r="M75" s="40"/>
      <c r="N75" s="40"/>
      <c r="O75" s="40"/>
      <c r="P75" s="40"/>
      <c r="Q75" s="40"/>
      <c r="R75" s="40"/>
      <c r="S75" s="40"/>
      <c r="T75" s="40"/>
      <c r="U75" s="40"/>
      <c r="V75" s="40"/>
      <c r="W75" s="40"/>
    </row>
    <row r="76" spans="1:23" ht="11.25" hidden="1" customHeight="1" x14ac:dyDescent="0.25">
      <c r="A76" s="407">
        <f>'Org structure'!E98</f>
        <v>0</v>
      </c>
      <c r="B76" s="445"/>
      <c r="C76" s="739"/>
      <c r="D76" s="740"/>
      <c r="E76" s="741"/>
      <c r="F76" s="742"/>
      <c r="G76" s="741"/>
      <c r="H76" s="742"/>
      <c r="I76" s="44">
        <f t="shared" si="13"/>
        <v>0</v>
      </c>
      <c r="J76" s="330" t="str">
        <f t="shared" si="14"/>
        <v/>
      </c>
      <c r="K76" s="743"/>
      <c r="L76" s="446"/>
      <c r="M76" s="40"/>
      <c r="N76" s="40"/>
      <c r="O76" s="40"/>
      <c r="P76" s="40"/>
      <c r="Q76" s="40"/>
      <c r="R76" s="40"/>
      <c r="S76" s="40"/>
      <c r="T76" s="40"/>
      <c r="U76" s="40"/>
      <c r="V76" s="40"/>
      <c r="W76" s="40"/>
    </row>
    <row r="77" spans="1:23" ht="11.25" hidden="1" customHeight="1" x14ac:dyDescent="0.25">
      <c r="A77" s="407">
        <f>'Org structure'!E99</f>
        <v>0</v>
      </c>
      <c r="B77" s="445"/>
      <c r="C77" s="739"/>
      <c r="D77" s="740"/>
      <c r="E77" s="741"/>
      <c r="F77" s="742"/>
      <c r="G77" s="741"/>
      <c r="H77" s="742"/>
      <c r="I77" s="44">
        <f t="shared" si="13"/>
        <v>0</v>
      </c>
      <c r="J77" s="330" t="str">
        <f t="shared" si="14"/>
        <v/>
      </c>
      <c r="K77" s="743"/>
      <c r="L77" s="446"/>
      <c r="M77" s="40"/>
      <c r="N77" s="40"/>
      <c r="O77" s="40"/>
      <c r="P77" s="40"/>
      <c r="Q77" s="40"/>
      <c r="R77" s="40"/>
      <c r="S77" s="40"/>
      <c r="T77" s="40"/>
      <c r="U77" s="40"/>
      <c r="V77" s="40"/>
      <c r="W77" s="40"/>
    </row>
    <row r="78" spans="1:23" ht="11.25" hidden="1" customHeight="1" x14ac:dyDescent="0.25">
      <c r="A78" s="407">
        <f>'Org structure'!E100</f>
        <v>0</v>
      </c>
      <c r="B78" s="445"/>
      <c r="C78" s="739"/>
      <c r="D78" s="740"/>
      <c r="E78" s="741"/>
      <c r="F78" s="742"/>
      <c r="G78" s="741"/>
      <c r="H78" s="742"/>
      <c r="I78" s="44">
        <f t="shared" si="13"/>
        <v>0</v>
      </c>
      <c r="J78" s="330" t="str">
        <f t="shared" si="14"/>
        <v/>
      </c>
      <c r="K78" s="743"/>
      <c r="L78" s="446"/>
      <c r="M78" s="40"/>
      <c r="N78" s="40"/>
      <c r="O78" s="40"/>
      <c r="P78" s="40"/>
      <c r="Q78" s="40"/>
      <c r="R78" s="40"/>
      <c r="S78" s="40"/>
      <c r="T78" s="40"/>
      <c r="U78" s="40"/>
      <c r="V78" s="40"/>
      <c r="W78" s="40"/>
    </row>
    <row r="79" spans="1:23" ht="11.25" hidden="1" customHeight="1" x14ac:dyDescent="0.25">
      <c r="A79" s="466" t="str">
        <f>'Org structure'!A11</f>
        <v>Vote 10 - [NAME OF VOTE 10]</v>
      </c>
      <c r="B79" s="445"/>
      <c r="C79" s="503">
        <f>SUM(C80:C89)</f>
        <v>0</v>
      </c>
      <c r="D79" s="444">
        <f t="shared" ref="D79:K79" si="18">SUM(D80:D89)</f>
        <v>0</v>
      </c>
      <c r="E79" s="441">
        <f t="shared" si="18"/>
        <v>0</v>
      </c>
      <c r="F79" s="443">
        <f t="shared" si="18"/>
        <v>0</v>
      </c>
      <c r="G79" s="441">
        <f t="shared" si="18"/>
        <v>0</v>
      </c>
      <c r="H79" s="443">
        <f t="shared" si="18"/>
        <v>0</v>
      </c>
      <c r="I79" s="44">
        <f t="shared" si="13"/>
        <v>0</v>
      </c>
      <c r="J79" s="330" t="str">
        <f t="shared" si="14"/>
        <v/>
      </c>
      <c r="K79" s="442">
        <f t="shared" si="18"/>
        <v>0</v>
      </c>
      <c r="L79" s="446"/>
      <c r="M79" s="40"/>
      <c r="N79" s="40"/>
      <c r="O79" s="40"/>
      <c r="P79" s="40"/>
      <c r="Q79" s="40"/>
      <c r="R79" s="40"/>
      <c r="S79" s="40"/>
      <c r="T79" s="40"/>
      <c r="U79" s="40"/>
      <c r="V79" s="40"/>
      <c r="W79" s="40"/>
    </row>
    <row r="80" spans="1:23" ht="11.25" hidden="1" customHeight="1" x14ac:dyDescent="0.25">
      <c r="A80" s="407" t="str">
        <f>'Org structure'!E102</f>
        <v>10.1 - [Name of sub-vote]</v>
      </c>
      <c r="B80" s="445"/>
      <c r="C80" s="739"/>
      <c r="D80" s="740"/>
      <c r="E80" s="741"/>
      <c r="F80" s="742"/>
      <c r="G80" s="741"/>
      <c r="H80" s="742"/>
      <c r="I80" s="44">
        <f t="shared" si="13"/>
        <v>0</v>
      </c>
      <c r="J80" s="330" t="str">
        <f t="shared" si="14"/>
        <v/>
      </c>
      <c r="K80" s="743"/>
      <c r="L80" s="446"/>
      <c r="M80" s="40"/>
      <c r="N80" s="40"/>
      <c r="O80" s="40"/>
      <c r="P80" s="40"/>
      <c r="Q80" s="40"/>
      <c r="R80" s="40"/>
      <c r="S80" s="40"/>
      <c r="T80" s="40"/>
      <c r="U80" s="40"/>
      <c r="V80" s="40"/>
      <c r="W80" s="40"/>
    </row>
    <row r="81" spans="1:23" ht="11.25" hidden="1" customHeight="1" x14ac:dyDescent="0.25">
      <c r="A81" s="407">
        <f>'Org structure'!E103</f>
        <v>0</v>
      </c>
      <c r="B81" s="445"/>
      <c r="C81" s="739"/>
      <c r="D81" s="740"/>
      <c r="E81" s="741"/>
      <c r="F81" s="742"/>
      <c r="G81" s="741"/>
      <c r="H81" s="742"/>
      <c r="I81" s="44">
        <f t="shared" si="13"/>
        <v>0</v>
      </c>
      <c r="J81" s="330" t="str">
        <f t="shared" si="14"/>
        <v/>
      </c>
      <c r="K81" s="743"/>
      <c r="L81" s="446"/>
      <c r="M81" s="40"/>
      <c r="N81" s="40"/>
      <c r="O81" s="40"/>
      <c r="P81" s="40"/>
      <c r="Q81" s="40"/>
      <c r="R81" s="40"/>
      <c r="S81" s="40"/>
      <c r="T81" s="40"/>
      <c r="U81" s="40"/>
      <c r="V81" s="40"/>
      <c r="W81" s="40"/>
    </row>
    <row r="82" spans="1:23" ht="11.25" hidden="1" customHeight="1" x14ac:dyDescent="0.25">
      <c r="A82" s="407">
        <f>'Org structure'!E104</f>
        <v>0</v>
      </c>
      <c r="B82" s="445"/>
      <c r="C82" s="739"/>
      <c r="D82" s="740"/>
      <c r="E82" s="741"/>
      <c r="F82" s="742"/>
      <c r="G82" s="741"/>
      <c r="H82" s="742"/>
      <c r="I82" s="44">
        <f t="shared" si="13"/>
        <v>0</v>
      </c>
      <c r="J82" s="330" t="str">
        <f t="shared" si="14"/>
        <v/>
      </c>
      <c r="K82" s="743"/>
      <c r="L82" s="446"/>
      <c r="M82" s="40"/>
      <c r="N82" s="40"/>
      <c r="O82" s="40"/>
      <c r="P82" s="40"/>
      <c r="Q82" s="40"/>
      <c r="R82" s="40"/>
      <c r="S82" s="40"/>
      <c r="T82" s="40"/>
      <c r="U82" s="40"/>
      <c r="V82" s="40"/>
      <c r="W82" s="40"/>
    </row>
    <row r="83" spans="1:23" ht="11.25" hidden="1" customHeight="1" x14ac:dyDescent="0.25">
      <c r="A83" s="407">
        <f>'Org structure'!E105</f>
        <v>0</v>
      </c>
      <c r="B83" s="445"/>
      <c r="C83" s="739"/>
      <c r="D83" s="740"/>
      <c r="E83" s="741"/>
      <c r="F83" s="742"/>
      <c r="G83" s="741"/>
      <c r="H83" s="742"/>
      <c r="I83" s="44">
        <f t="shared" si="13"/>
        <v>0</v>
      </c>
      <c r="J83" s="330" t="str">
        <f t="shared" si="14"/>
        <v/>
      </c>
      <c r="K83" s="743"/>
      <c r="L83" s="446"/>
      <c r="M83" s="40"/>
      <c r="N83" s="40"/>
      <c r="O83" s="40"/>
      <c r="P83" s="40"/>
      <c r="Q83" s="40"/>
      <c r="R83" s="40"/>
      <c r="S83" s="40"/>
      <c r="T83" s="40"/>
      <c r="U83" s="40"/>
      <c r="V83" s="40"/>
      <c r="W83" s="40"/>
    </row>
    <row r="84" spans="1:23" ht="11.25" hidden="1" customHeight="1" x14ac:dyDescent="0.25">
      <c r="A84" s="407">
        <f>'Org structure'!E106</f>
        <v>0</v>
      </c>
      <c r="B84" s="445"/>
      <c r="C84" s="739"/>
      <c r="D84" s="740"/>
      <c r="E84" s="741"/>
      <c r="F84" s="742"/>
      <c r="G84" s="741"/>
      <c r="H84" s="742"/>
      <c r="I84" s="44">
        <f t="shared" si="13"/>
        <v>0</v>
      </c>
      <c r="J84" s="330" t="str">
        <f t="shared" si="14"/>
        <v/>
      </c>
      <c r="K84" s="743"/>
      <c r="L84" s="446"/>
      <c r="M84" s="40"/>
      <c r="N84" s="40"/>
      <c r="O84" s="40"/>
      <c r="P84" s="40"/>
      <c r="Q84" s="40"/>
      <c r="R84" s="40"/>
      <c r="S84" s="40"/>
      <c r="T84" s="40"/>
      <c r="U84" s="40"/>
      <c r="V84" s="40"/>
      <c r="W84" s="40"/>
    </row>
    <row r="85" spans="1:23" ht="11.25" hidden="1" customHeight="1" x14ac:dyDescent="0.25">
      <c r="A85" s="407">
        <f>'Org structure'!E107</f>
        <v>0</v>
      </c>
      <c r="B85" s="445"/>
      <c r="C85" s="739"/>
      <c r="D85" s="740"/>
      <c r="E85" s="741"/>
      <c r="F85" s="742"/>
      <c r="G85" s="741"/>
      <c r="H85" s="742"/>
      <c r="I85" s="44">
        <f t="shared" si="13"/>
        <v>0</v>
      </c>
      <c r="J85" s="330" t="str">
        <f t="shared" si="14"/>
        <v/>
      </c>
      <c r="K85" s="743"/>
      <c r="L85" s="446"/>
      <c r="M85" s="40"/>
      <c r="N85" s="40"/>
      <c r="O85" s="40"/>
      <c r="P85" s="40"/>
      <c r="Q85" s="40"/>
      <c r="R85" s="40"/>
      <c r="S85" s="40"/>
      <c r="T85" s="40"/>
      <c r="U85" s="40"/>
      <c r="V85" s="40"/>
      <c r="W85" s="40"/>
    </row>
    <row r="86" spans="1:23" ht="11.25" hidden="1" customHeight="1" x14ac:dyDescent="0.25">
      <c r="A86" s="407">
        <f>'Org structure'!E108</f>
        <v>0</v>
      </c>
      <c r="B86" s="445"/>
      <c r="C86" s="739"/>
      <c r="D86" s="740"/>
      <c r="E86" s="741"/>
      <c r="F86" s="742"/>
      <c r="G86" s="741"/>
      <c r="H86" s="742"/>
      <c r="I86" s="44">
        <f t="shared" si="13"/>
        <v>0</v>
      </c>
      <c r="J86" s="330" t="str">
        <f t="shared" si="14"/>
        <v/>
      </c>
      <c r="K86" s="743"/>
      <c r="L86" s="446"/>
      <c r="M86" s="40"/>
      <c r="N86" s="40"/>
      <c r="O86" s="40"/>
      <c r="P86" s="40"/>
      <c r="Q86" s="40"/>
      <c r="R86" s="40"/>
      <c r="S86" s="40"/>
      <c r="T86" s="40"/>
      <c r="U86" s="40"/>
      <c r="V86" s="40"/>
      <c r="W86" s="40"/>
    </row>
    <row r="87" spans="1:23" ht="11.25" hidden="1" customHeight="1" x14ac:dyDescent="0.25">
      <c r="A87" s="407">
        <f>'Org structure'!E109</f>
        <v>0</v>
      </c>
      <c r="B87" s="445"/>
      <c r="C87" s="739"/>
      <c r="D87" s="740"/>
      <c r="E87" s="741"/>
      <c r="F87" s="742"/>
      <c r="G87" s="741"/>
      <c r="H87" s="742"/>
      <c r="I87" s="44">
        <f t="shared" si="13"/>
        <v>0</v>
      </c>
      <c r="J87" s="330" t="str">
        <f t="shared" si="14"/>
        <v/>
      </c>
      <c r="K87" s="743"/>
      <c r="L87" s="446"/>
      <c r="M87" s="40"/>
      <c r="N87" s="40"/>
      <c r="O87" s="40"/>
      <c r="P87" s="40"/>
      <c r="Q87" s="40"/>
      <c r="R87" s="40"/>
      <c r="S87" s="40"/>
      <c r="T87" s="40"/>
      <c r="U87" s="40"/>
      <c r="V87" s="40"/>
      <c r="W87" s="40"/>
    </row>
    <row r="88" spans="1:23" ht="11.25" hidden="1" customHeight="1" x14ac:dyDescent="0.25">
      <c r="A88" s="407">
        <f>'Org structure'!E110</f>
        <v>0</v>
      </c>
      <c r="B88" s="445"/>
      <c r="C88" s="739"/>
      <c r="D88" s="740"/>
      <c r="E88" s="741"/>
      <c r="F88" s="742"/>
      <c r="G88" s="741"/>
      <c r="H88" s="742"/>
      <c r="I88" s="44">
        <f t="shared" si="13"/>
        <v>0</v>
      </c>
      <c r="J88" s="330" t="str">
        <f t="shared" si="14"/>
        <v/>
      </c>
      <c r="K88" s="743"/>
      <c r="L88" s="446"/>
      <c r="M88" s="40"/>
      <c r="N88" s="40"/>
      <c r="O88" s="40"/>
      <c r="P88" s="40"/>
      <c r="Q88" s="40"/>
      <c r="R88" s="40"/>
      <c r="S88" s="40"/>
      <c r="T88" s="40"/>
      <c r="U88" s="40"/>
      <c r="V88" s="40"/>
      <c r="W88" s="40"/>
    </row>
    <row r="89" spans="1:23" ht="11.25" hidden="1" customHeight="1" x14ac:dyDescent="0.25">
      <c r="A89" s="407">
        <f>'Org structure'!E111</f>
        <v>0</v>
      </c>
      <c r="B89" s="445"/>
      <c r="C89" s="739"/>
      <c r="D89" s="740"/>
      <c r="E89" s="741"/>
      <c r="F89" s="742"/>
      <c r="G89" s="741"/>
      <c r="H89" s="742"/>
      <c r="I89" s="44">
        <f t="shared" si="13"/>
        <v>0</v>
      </c>
      <c r="J89" s="330" t="str">
        <f t="shared" si="14"/>
        <v/>
      </c>
      <c r="K89" s="743"/>
      <c r="L89" s="446"/>
      <c r="M89" s="40"/>
      <c r="N89" s="40"/>
      <c r="O89" s="40"/>
      <c r="P89" s="40"/>
      <c r="Q89" s="40"/>
      <c r="R89" s="40"/>
      <c r="S89" s="40"/>
      <c r="T89" s="40"/>
      <c r="U89" s="40"/>
      <c r="V89" s="40"/>
      <c r="W89" s="40"/>
    </row>
    <row r="90" spans="1:23" ht="11.25" hidden="1" customHeight="1" x14ac:dyDescent="0.25">
      <c r="A90" s="466" t="str">
        <f>'Org structure'!A12</f>
        <v>Vote 11 - [NAME OF VOTE 11]</v>
      </c>
      <c r="B90" s="445"/>
      <c r="C90" s="503">
        <f>SUM(C91:C100)</f>
        <v>0</v>
      </c>
      <c r="D90" s="444">
        <f t="shared" ref="D90:K90" si="19">SUM(D91:D100)</f>
        <v>0</v>
      </c>
      <c r="E90" s="441">
        <f t="shared" si="19"/>
        <v>0</v>
      </c>
      <c r="F90" s="443">
        <f t="shared" si="19"/>
        <v>0</v>
      </c>
      <c r="G90" s="441">
        <f t="shared" si="19"/>
        <v>0</v>
      </c>
      <c r="H90" s="443">
        <f t="shared" si="19"/>
        <v>0</v>
      </c>
      <c r="I90" s="44">
        <f t="shared" si="13"/>
        <v>0</v>
      </c>
      <c r="J90" s="330" t="str">
        <f t="shared" si="14"/>
        <v/>
      </c>
      <c r="K90" s="442">
        <f t="shared" si="19"/>
        <v>0</v>
      </c>
      <c r="L90" s="446"/>
      <c r="M90" s="40"/>
      <c r="N90" s="40"/>
      <c r="O90" s="40"/>
      <c r="P90" s="40"/>
      <c r="Q90" s="40"/>
      <c r="R90" s="40"/>
      <c r="S90" s="40"/>
      <c r="T90" s="40"/>
      <c r="U90" s="40"/>
      <c r="V90" s="40"/>
      <c r="W90" s="40"/>
    </row>
    <row r="91" spans="1:23" ht="11.25" hidden="1" customHeight="1" x14ac:dyDescent="0.25">
      <c r="A91" s="407" t="str">
        <f>'Org structure'!E113</f>
        <v>11.1 - [Name of sub-vote]</v>
      </c>
      <c r="B91" s="445"/>
      <c r="C91" s="739"/>
      <c r="D91" s="740"/>
      <c r="E91" s="741"/>
      <c r="F91" s="742"/>
      <c r="G91" s="741"/>
      <c r="H91" s="742"/>
      <c r="I91" s="44">
        <f t="shared" si="13"/>
        <v>0</v>
      </c>
      <c r="J91" s="330" t="str">
        <f t="shared" si="14"/>
        <v/>
      </c>
      <c r="K91" s="743"/>
      <c r="L91" s="446"/>
      <c r="M91" s="40"/>
      <c r="N91" s="40"/>
      <c r="O91" s="40"/>
      <c r="P91" s="40"/>
      <c r="Q91" s="40"/>
      <c r="R91" s="40"/>
      <c r="S91" s="40"/>
      <c r="T91" s="40"/>
      <c r="U91" s="40"/>
      <c r="V91" s="40"/>
      <c r="W91" s="40"/>
    </row>
    <row r="92" spans="1:23" ht="11.25" hidden="1" customHeight="1" x14ac:dyDescent="0.25">
      <c r="A92" s="407">
        <f>'Org structure'!E114</f>
        <v>0</v>
      </c>
      <c r="B92" s="445"/>
      <c r="C92" s="739"/>
      <c r="D92" s="740"/>
      <c r="E92" s="741"/>
      <c r="F92" s="742"/>
      <c r="G92" s="741"/>
      <c r="H92" s="742"/>
      <c r="I92" s="44">
        <f t="shared" si="13"/>
        <v>0</v>
      </c>
      <c r="J92" s="330" t="str">
        <f t="shared" si="14"/>
        <v/>
      </c>
      <c r="K92" s="743"/>
      <c r="L92" s="446"/>
      <c r="M92" s="40"/>
      <c r="N92" s="40"/>
      <c r="O92" s="40"/>
      <c r="P92" s="40"/>
      <c r="Q92" s="40"/>
      <c r="R92" s="40"/>
      <c r="S92" s="40"/>
      <c r="T92" s="40"/>
      <c r="U92" s="40"/>
      <c r="V92" s="40"/>
      <c r="W92" s="40"/>
    </row>
    <row r="93" spans="1:23" ht="11.25" hidden="1" customHeight="1" x14ac:dyDescent="0.25">
      <c r="A93" s="407">
        <f>'Org structure'!E115</f>
        <v>0</v>
      </c>
      <c r="B93" s="445"/>
      <c r="C93" s="739"/>
      <c r="D93" s="740"/>
      <c r="E93" s="741"/>
      <c r="F93" s="742"/>
      <c r="G93" s="741"/>
      <c r="H93" s="742"/>
      <c r="I93" s="44">
        <f t="shared" si="13"/>
        <v>0</v>
      </c>
      <c r="J93" s="330" t="str">
        <f t="shared" si="14"/>
        <v/>
      </c>
      <c r="K93" s="743"/>
      <c r="L93" s="446"/>
      <c r="M93" s="40"/>
      <c r="N93" s="40"/>
      <c r="O93" s="40"/>
      <c r="P93" s="40"/>
      <c r="Q93" s="40"/>
      <c r="R93" s="40"/>
      <c r="S93" s="40"/>
      <c r="T93" s="40"/>
      <c r="U93" s="40"/>
      <c r="V93" s="40"/>
      <c r="W93" s="40"/>
    </row>
    <row r="94" spans="1:23" ht="11.25" hidden="1" customHeight="1" x14ac:dyDescent="0.25">
      <c r="A94" s="407">
        <f>'Org structure'!E116</f>
        <v>0</v>
      </c>
      <c r="B94" s="445"/>
      <c r="C94" s="739"/>
      <c r="D94" s="740"/>
      <c r="E94" s="741"/>
      <c r="F94" s="742"/>
      <c r="G94" s="741"/>
      <c r="H94" s="742"/>
      <c r="I94" s="44">
        <f t="shared" si="13"/>
        <v>0</v>
      </c>
      <c r="J94" s="330" t="str">
        <f t="shared" si="14"/>
        <v/>
      </c>
      <c r="K94" s="743"/>
      <c r="L94" s="446"/>
      <c r="M94" s="40"/>
      <c r="N94" s="40"/>
      <c r="O94" s="40"/>
      <c r="P94" s="40"/>
      <c r="Q94" s="40"/>
      <c r="R94" s="40"/>
      <c r="S94" s="40"/>
      <c r="T94" s="40"/>
      <c r="U94" s="40"/>
      <c r="V94" s="40"/>
      <c r="W94" s="40"/>
    </row>
    <row r="95" spans="1:23" ht="11.25" hidden="1" customHeight="1" x14ac:dyDescent="0.25">
      <c r="A95" s="407">
        <f>'Org structure'!E117</f>
        <v>0</v>
      </c>
      <c r="B95" s="445"/>
      <c r="C95" s="739"/>
      <c r="D95" s="740"/>
      <c r="E95" s="741"/>
      <c r="F95" s="742"/>
      <c r="G95" s="741"/>
      <c r="H95" s="742"/>
      <c r="I95" s="44">
        <f t="shared" si="13"/>
        <v>0</v>
      </c>
      <c r="J95" s="330" t="str">
        <f t="shared" si="14"/>
        <v/>
      </c>
      <c r="K95" s="743"/>
      <c r="L95" s="446"/>
      <c r="M95" s="40"/>
      <c r="N95" s="40"/>
      <c r="O95" s="40"/>
      <c r="P95" s="40"/>
      <c r="Q95" s="40"/>
      <c r="R95" s="40"/>
      <c r="S95" s="40"/>
      <c r="T95" s="40"/>
      <c r="U95" s="40"/>
      <c r="V95" s="40"/>
      <c r="W95" s="40"/>
    </row>
    <row r="96" spans="1:23" ht="11.25" hidden="1" customHeight="1" x14ac:dyDescent="0.25">
      <c r="A96" s="407">
        <f>'Org structure'!E118</f>
        <v>0</v>
      </c>
      <c r="B96" s="445"/>
      <c r="C96" s="739"/>
      <c r="D96" s="740"/>
      <c r="E96" s="741"/>
      <c r="F96" s="742"/>
      <c r="G96" s="741"/>
      <c r="H96" s="742"/>
      <c r="I96" s="44">
        <f t="shared" si="13"/>
        <v>0</v>
      </c>
      <c r="J96" s="330" t="str">
        <f t="shared" si="14"/>
        <v/>
      </c>
      <c r="K96" s="743"/>
      <c r="L96" s="446"/>
      <c r="M96" s="40"/>
      <c r="N96" s="40"/>
      <c r="O96" s="40"/>
      <c r="P96" s="40"/>
      <c r="Q96" s="40"/>
      <c r="R96" s="40"/>
      <c r="S96" s="40"/>
      <c r="T96" s="40"/>
      <c r="U96" s="40"/>
      <c r="V96" s="40"/>
      <c r="W96" s="40"/>
    </row>
    <row r="97" spans="1:23" ht="11.25" hidden="1" customHeight="1" x14ac:dyDescent="0.25">
      <c r="A97" s="407">
        <f>'Org structure'!E119</f>
        <v>0</v>
      </c>
      <c r="B97" s="445"/>
      <c r="C97" s="739"/>
      <c r="D97" s="740"/>
      <c r="E97" s="741"/>
      <c r="F97" s="742"/>
      <c r="G97" s="741"/>
      <c r="H97" s="742"/>
      <c r="I97" s="44">
        <f t="shared" si="13"/>
        <v>0</v>
      </c>
      <c r="J97" s="330" t="str">
        <f t="shared" si="14"/>
        <v/>
      </c>
      <c r="K97" s="743"/>
      <c r="L97" s="446"/>
      <c r="M97" s="40"/>
      <c r="N97" s="40"/>
      <c r="O97" s="40"/>
      <c r="P97" s="40"/>
      <c r="Q97" s="40"/>
      <c r="R97" s="40"/>
      <c r="S97" s="40"/>
      <c r="T97" s="40"/>
      <c r="U97" s="40"/>
      <c r="V97" s="40"/>
      <c r="W97" s="40"/>
    </row>
    <row r="98" spans="1:23" ht="11.25" hidden="1" customHeight="1" x14ac:dyDescent="0.25">
      <c r="A98" s="407">
        <f>'Org structure'!E120</f>
        <v>0</v>
      </c>
      <c r="B98" s="445"/>
      <c r="C98" s="739"/>
      <c r="D98" s="740"/>
      <c r="E98" s="741"/>
      <c r="F98" s="742"/>
      <c r="G98" s="741"/>
      <c r="H98" s="742"/>
      <c r="I98" s="44">
        <f t="shared" si="13"/>
        <v>0</v>
      </c>
      <c r="J98" s="330" t="str">
        <f t="shared" si="14"/>
        <v/>
      </c>
      <c r="K98" s="743"/>
      <c r="L98" s="446"/>
      <c r="M98" s="40"/>
      <c r="N98" s="40"/>
      <c r="O98" s="40"/>
      <c r="P98" s="40"/>
      <c r="Q98" s="40"/>
      <c r="R98" s="40"/>
      <c r="S98" s="40"/>
      <c r="T98" s="40"/>
      <c r="U98" s="40"/>
      <c r="V98" s="40"/>
      <c r="W98" s="40"/>
    </row>
    <row r="99" spans="1:23" ht="11.25" hidden="1" customHeight="1" x14ac:dyDescent="0.25">
      <c r="A99" s="407">
        <f>'Org structure'!E121</f>
        <v>0</v>
      </c>
      <c r="B99" s="445"/>
      <c r="C99" s="739"/>
      <c r="D99" s="740"/>
      <c r="E99" s="741"/>
      <c r="F99" s="742"/>
      <c r="G99" s="741"/>
      <c r="H99" s="742"/>
      <c r="I99" s="44">
        <f t="shared" si="13"/>
        <v>0</v>
      </c>
      <c r="J99" s="330" t="str">
        <f t="shared" si="14"/>
        <v/>
      </c>
      <c r="K99" s="743"/>
      <c r="L99" s="446"/>
      <c r="M99" s="40"/>
      <c r="N99" s="40"/>
      <c r="O99" s="40"/>
      <c r="P99" s="40"/>
      <c r="Q99" s="40"/>
      <c r="R99" s="40"/>
      <c r="S99" s="40"/>
      <c r="T99" s="40"/>
      <c r="U99" s="40"/>
      <c r="V99" s="40"/>
      <c r="W99" s="40"/>
    </row>
    <row r="100" spans="1:23" ht="11.25" hidden="1" customHeight="1" x14ac:dyDescent="0.25">
      <c r="A100" s="407">
        <f>'Org structure'!E122</f>
        <v>0</v>
      </c>
      <c r="B100" s="445"/>
      <c r="C100" s="739"/>
      <c r="D100" s="740"/>
      <c r="E100" s="741"/>
      <c r="F100" s="742"/>
      <c r="G100" s="741"/>
      <c r="H100" s="742"/>
      <c r="I100" s="44">
        <f t="shared" si="13"/>
        <v>0</v>
      </c>
      <c r="J100" s="330" t="str">
        <f t="shared" si="14"/>
        <v/>
      </c>
      <c r="K100" s="743"/>
      <c r="L100" s="446"/>
      <c r="M100" s="40"/>
      <c r="N100" s="40"/>
      <c r="O100" s="40"/>
      <c r="P100" s="40"/>
      <c r="Q100" s="40"/>
      <c r="R100" s="40"/>
      <c r="S100" s="40"/>
      <c r="T100" s="40"/>
      <c r="U100" s="40"/>
      <c r="V100" s="40"/>
      <c r="W100" s="40"/>
    </row>
    <row r="101" spans="1:23" ht="11.25" hidden="1" customHeight="1" x14ac:dyDescent="0.25">
      <c r="A101" s="466" t="str">
        <f>'Org structure'!A13</f>
        <v>Vote 12 - [NAME OF VOTE 12]</v>
      </c>
      <c r="B101" s="445"/>
      <c r="C101" s="503">
        <f>SUM(C102:C111)</f>
        <v>0</v>
      </c>
      <c r="D101" s="444">
        <f t="shared" ref="D101:K101" si="20">SUM(D102:D111)</f>
        <v>0</v>
      </c>
      <c r="E101" s="441">
        <f t="shared" si="20"/>
        <v>0</v>
      </c>
      <c r="F101" s="443">
        <f t="shared" si="20"/>
        <v>0</v>
      </c>
      <c r="G101" s="441">
        <f t="shared" si="20"/>
        <v>0</v>
      </c>
      <c r="H101" s="443">
        <f t="shared" si="20"/>
        <v>0</v>
      </c>
      <c r="I101" s="44">
        <f t="shared" si="13"/>
        <v>0</v>
      </c>
      <c r="J101" s="330" t="str">
        <f t="shared" si="14"/>
        <v/>
      </c>
      <c r="K101" s="442">
        <f t="shared" si="20"/>
        <v>0</v>
      </c>
      <c r="L101" s="446"/>
      <c r="M101" s="40"/>
      <c r="N101" s="40"/>
      <c r="O101" s="40"/>
      <c r="P101" s="40"/>
      <c r="Q101" s="40"/>
      <c r="R101" s="40"/>
      <c r="S101" s="40"/>
      <c r="T101" s="40"/>
      <c r="U101" s="40"/>
      <c r="V101" s="40"/>
      <c r="W101" s="40"/>
    </row>
    <row r="102" spans="1:23" ht="11.25" hidden="1" customHeight="1" x14ac:dyDescent="0.25">
      <c r="A102" s="407" t="str">
        <f>'Org structure'!E124</f>
        <v>12.1 - [Name of sub-vote]</v>
      </c>
      <c r="B102" s="445"/>
      <c r="C102" s="739"/>
      <c r="D102" s="740"/>
      <c r="E102" s="741"/>
      <c r="F102" s="742"/>
      <c r="G102" s="741"/>
      <c r="H102" s="742"/>
      <c r="I102" s="44">
        <f t="shared" si="13"/>
        <v>0</v>
      </c>
      <c r="J102" s="330" t="str">
        <f t="shared" si="14"/>
        <v/>
      </c>
      <c r="K102" s="743"/>
      <c r="L102" s="446"/>
      <c r="M102" s="40"/>
      <c r="N102" s="40"/>
      <c r="O102" s="40"/>
      <c r="P102" s="40"/>
      <c r="Q102" s="40"/>
      <c r="R102" s="40"/>
      <c r="S102" s="40"/>
      <c r="T102" s="40"/>
      <c r="U102" s="40"/>
      <c r="V102" s="40"/>
      <c r="W102" s="40"/>
    </row>
    <row r="103" spans="1:23" ht="11.25" hidden="1" customHeight="1" x14ac:dyDescent="0.25">
      <c r="A103" s="407">
        <f>'Org structure'!E125</f>
        <v>0</v>
      </c>
      <c r="B103" s="445"/>
      <c r="C103" s="739"/>
      <c r="D103" s="740"/>
      <c r="E103" s="741"/>
      <c r="F103" s="742"/>
      <c r="G103" s="741"/>
      <c r="H103" s="742"/>
      <c r="I103" s="44">
        <f t="shared" si="13"/>
        <v>0</v>
      </c>
      <c r="J103" s="330" t="str">
        <f t="shared" si="14"/>
        <v/>
      </c>
      <c r="K103" s="743"/>
      <c r="L103" s="446"/>
      <c r="M103" s="40"/>
      <c r="N103" s="40"/>
      <c r="O103" s="40"/>
      <c r="P103" s="40"/>
      <c r="Q103" s="40"/>
      <c r="R103" s="40"/>
      <c r="S103" s="40"/>
      <c r="T103" s="40"/>
      <c r="U103" s="40"/>
      <c r="V103" s="40"/>
      <c r="W103" s="40"/>
    </row>
    <row r="104" spans="1:23" ht="11.25" hidden="1" customHeight="1" x14ac:dyDescent="0.25">
      <c r="A104" s="407">
        <f>'Org structure'!E126</f>
        <v>0</v>
      </c>
      <c r="B104" s="445"/>
      <c r="C104" s="739"/>
      <c r="D104" s="740"/>
      <c r="E104" s="741"/>
      <c r="F104" s="742"/>
      <c r="G104" s="741"/>
      <c r="H104" s="742"/>
      <c r="I104" s="44">
        <f t="shared" si="13"/>
        <v>0</v>
      </c>
      <c r="J104" s="330" t="str">
        <f t="shared" si="14"/>
        <v/>
      </c>
      <c r="K104" s="743"/>
      <c r="L104" s="446"/>
      <c r="M104" s="40"/>
      <c r="N104" s="40"/>
      <c r="O104" s="40"/>
      <c r="P104" s="40"/>
      <c r="Q104" s="40"/>
      <c r="R104" s="40"/>
      <c r="S104" s="40"/>
      <c r="T104" s="40"/>
      <c r="U104" s="40"/>
      <c r="V104" s="40"/>
      <c r="W104" s="40"/>
    </row>
    <row r="105" spans="1:23" ht="11.25" hidden="1" customHeight="1" x14ac:dyDescent="0.25">
      <c r="A105" s="407">
        <f>'Org structure'!E127</f>
        <v>0</v>
      </c>
      <c r="B105" s="445"/>
      <c r="C105" s="739"/>
      <c r="D105" s="740"/>
      <c r="E105" s="741"/>
      <c r="F105" s="742"/>
      <c r="G105" s="741"/>
      <c r="H105" s="742"/>
      <c r="I105" s="44">
        <f t="shared" si="13"/>
        <v>0</v>
      </c>
      <c r="J105" s="330" t="str">
        <f t="shared" si="14"/>
        <v/>
      </c>
      <c r="K105" s="743"/>
      <c r="L105" s="446"/>
      <c r="M105" s="40"/>
      <c r="N105" s="40"/>
      <c r="O105" s="40"/>
      <c r="P105" s="40"/>
      <c r="Q105" s="40"/>
      <c r="R105" s="40"/>
      <c r="S105" s="40"/>
      <c r="T105" s="40"/>
      <c r="U105" s="40"/>
      <c r="V105" s="40"/>
      <c r="W105" s="40"/>
    </row>
    <row r="106" spans="1:23" ht="11.25" hidden="1" customHeight="1" x14ac:dyDescent="0.25">
      <c r="A106" s="407">
        <f>'Org structure'!E128</f>
        <v>0</v>
      </c>
      <c r="B106" s="445"/>
      <c r="C106" s="739"/>
      <c r="D106" s="740"/>
      <c r="E106" s="741"/>
      <c r="F106" s="742"/>
      <c r="G106" s="741"/>
      <c r="H106" s="742"/>
      <c r="I106" s="44">
        <f t="shared" si="13"/>
        <v>0</v>
      </c>
      <c r="J106" s="330" t="str">
        <f t="shared" si="14"/>
        <v/>
      </c>
      <c r="K106" s="743"/>
      <c r="L106" s="446"/>
      <c r="M106" s="40"/>
      <c r="N106" s="40"/>
      <c r="O106" s="40"/>
      <c r="P106" s="40"/>
      <c r="Q106" s="40"/>
      <c r="R106" s="40"/>
      <c r="S106" s="40"/>
      <c r="T106" s="40"/>
      <c r="U106" s="40"/>
      <c r="V106" s="40"/>
      <c r="W106" s="40"/>
    </row>
    <row r="107" spans="1:23" ht="11.25" hidden="1" customHeight="1" x14ac:dyDescent="0.25">
      <c r="A107" s="407">
        <f>'Org structure'!E129</f>
        <v>0</v>
      </c>
      <c r="B107" s="445"/>
      <c r="C107" s="739"/>
      <c r="D107" s="740"/>
      <c r="E107" s="741"/>
      <c r="F107" s="742"/>
      <c r="G107" s="741"/>
      <c r="H107" s="742"/>
      <c r="I107" s="44">
        <f t="shared" si="13"/>
        <v>0</v>
      </c>
      <c r="J107" s="330" t="str">
        <f t="shared" si="14"/>
        <v/>
      </c>
      <c r="K107" s="743"/>
      <c r="L107" s="446"/>
      <c r="M107" s="40"/>
      <c r="N107" s="40"/>
      <c r="O107" s="40"/>
      <c r="P107" s="40"/>
      <c r="Q107" s="40"/>
      <c r="R107" s="40"/>
      <c r="S107" s="40"/>
      <c r="T107" s="40"/>
      <c r="U107" s="40"/>
      <c r="V107" s="40"/>
      <c r="W107" s="40"/>
    </row>
    <row r="108" spans="1:23" ht="11.25" hidden="1" customHeight="1" x14ac:dyDescent="0.25">
      <c r="A108" s="407">
        <f>'Org structure'!E130</f>
        <v>0</v>
      </c>
      <c r="B108" s="445"/>
      <c r="C108" s="739"/>
      <c r="D108" s="740"/>
      <c r="E108" s="741"/>
      <c r="F108" s="742"/>
      <c r="G108" s="741"/>
      <c r="H108" s="742"/>
      <c r="I108" s="44">
        <f t="shared" ref="I108:I172" si="21">G108-H108</f>
        <v>0</v>
      </c>
      <c r="J108" s="330" t="str">
        <f t="shared" ref="J108:J172" si="22">IF(I108=0,"",I108/H108)</f>
        <v/>
      </c>
      <c r="K108" s="743"/>
      <c r="L108" s="446"/>
      <c r="M108" s="40"/>
      <c r="N108" s="40"/>
      <c r="O108" s="40"/>
      <c r="P108" s="40"/>
      <c r="Q108" s="40"/>
      <c r="R108" s="40"/>
      <c r="S108" s="40"/>
      <c r="T108" s="40"/>
      <c r="U108" s="40"/>
      <c r="V108" s="40"/>
      <c r="W108" s="40"/>
    </row>
    <row r="109" spans="1:23" ht="11.25" hidden="1" customHeight="1" x14ac:dyDescent="0.25">
      <c r="A109" s="407">
        <f>'Org structure'!E131</f>
        <v>0</v>
      </c>
      <c r="B109" s="445"/>
      <c r="C109" s="739"/>
      <c r="D109" s="740"/>
      <c r="E109" s="741"/>
      <c r="F109" s="742"/>
      <c r="G109" s="741"/>
      <c r="H109" s="742"/>
      <c r="I109" s="44">
        <f t="shared" si="21"/>
        <v>0</v>
      </c>
      <c r="J109" s="330" t="str">
        <f t="shared" si="22"/>
        <v/>
      </c>
      <c r="K109" s="743"/>
      <c r="L109" s="446"/>
      <c r="M109" s="40"/>
      <c r="N109" s="40"/>
      <c r="O109" s="40"/>
      <c r="P109" s="40"/>
      <c r="Q109" s="40"/>
      <c r="R109" s="40"/>
      <c r="S109" s="40"/>
      <c r="T109" s="40"/>
      <c r="U109" s="40"/>
      <c r="V109" s="40"/>
      <c r="W109" s="40"/>
    </row>
    <row r="110" spans="1:23" ht="11.25" hidden="1" customHeight="1" x14ac:dyDescent="0.25">
      <c r="A110" s="407">
        <f>'Org structure'!E132</f>
        <v>0</v>
      </c>
      <c r="B110" s="445"/>
      <c r="C110" s="739"/>
      <c r="D110" s="740"/>
      <c r="E110" s="741"/>
      <c r="F110" s="742"/>
      <c r="G110" s="741"/>
      <c r="H110" s="742"/>
      <c r="I110" s="44">
        <f t="shared" si="21"/>
        <v>0</v>
      </c>
      <c r="J110" s="330" t="str">
        <f t="shared" si="22"/>
        <v/>
      </c>
      <c r="K110" s="743"/>
      <c r="L110" s="446"/>
      <c r="M110" s="40"/>
      <c r="N110" s="40"/>
      <c r="O110" s="40"/>
      <c r="P110" s="40"/>
      <c r="Q110" s="40"/>
      <c r="R110" s="40"/>
      <c r="S110" s="40"/>
      <c r="T110" s="40"/>
      <c r="U110" s="40"/>
      <c r="V110" s="40"/>
      <c r="W110" s="40"/>
    </row>
    <row r="111" spans="1:23" ht="11.25" hidden="1" customHeight="1" x14ac:dyDescent="0.25">
      <c r="A111" s="407">
        <f>'Org structure'!E133</f>
        <v>0</v>
      </c>
      <c r="B111" s="445"/>
      <c r="C111" s="739"/>
      <c r="D111" s="740"/>
      <c r="E111" s="741"/>
      <c r="F111" s="742"/>
      <c r="G111" s="741"/>
      <c r="H111" s="742"/>
      <c r="I111" s="44">
        <f t="shared" si="21"/>
        <v>0</v>
      </c>
      <c r="J111" s="330" t="str">
        <f t="shared" si="22"/>
        <v/>
      </c>
      <c r="K111" s="743"/>
      <c r="L111" s="446"/>
      <c r="M111" s="40"/>
      <c r="N111" s="40"/>
      <c r="O111" s="40"/>
      <c r="P111" s="40"/>
      <c r="Q111" s="40"/>
      <c r="R111" s="40"/>
      <c r="S111" s="40"/>
      <c r="T111" s="40"/>
      <c r="U111" s="40"/>
      <c r="V111" s="40"/>
      <c r="W111" s="40"/>
    </row>
    <row r="112" spans="1:23" ht="11.25" hidden="1" customHeight="1" x14ac:dyDescent="0.25">
      <c r="A112" s="466" t="str">
        <f>'Org structure'!A14</f>
        <v>Vote 13 - [NAME OF VOTE 13]</v>
      </c>
      <c r="B112" s="445"/>
      <c r="C112" s="503">
        <f>SUM(C113:C122)</f>
        <v>0</v>
      </c>
      <c r="D112" s="444">
        <f t="shared" ref="D112:K112" si="23">SUM(D113:D122)</f>
        <v>0</v>
      </c>
      <c r="E112" s="441">
        <f t="shared" si="23"/>
        <v>0</v>
      </c>
      <c r="F112" s="443">
        <f t="shared" si="23"/>
        <v>0</v>
      </c>
      <c r="G112" s="441">
        <f t="shared" si="23"/>
        <v>0</v>
      </c>
      <c r="H112" s="443">
        <f t="shared" si="23"/>
        <v>0</v>
      </c>
      <c r="I112" s="44">
        <f t="shared" si="21"/>
        <v>0</v>
      </c>
      <c r="J112" s="330" t="str">
        <f t="shared" si="22"/>
        <v/>
      </c>
      <c r="K112" s="442">
        <f t="shared" si="23"/>
        <v>0</v>
      </c>
      <c r="L112" s="446"/>
      <c r="M112" s="40"/>
      <c r="N112" s="40"/>
      <c r="O112" s="40"/>
      <c r="P112" s="40"/>
      <c r="Q112" s="40"/>
      <c r="R112" s="40"/>
      <c r="S112" s="40"/>
      <c r="T112" s="40"/>
      <c r="U112" s="40"/>
      <c r="V112" s="40"/>
      <c r="W112" s="40"/>
    </row>
    <row r="113" spans="1:23" ht="11.25" hidden="1" customHeight="1" x14ac:dyDescent="0.25">
      <c r="A113" s="407" t="str">
        <f>'Org structure'!E135</f>
        <v>13.1 - [Name of sub-vote]</v>
      </c>
      <c r="B113" s="445"/>
      <c r="C113" s="739"/>
      <c r="D113" s="740"/>
      <c r="E113" s="741"/>
      <c r="F113" s="742"/>
      <c r="G113" s="741"/>
      <c r="H113" s="742"/>
      <c r="I113" s="44">
        <f t="shared" si="21"/>
        <v>0</v>
      </c>
      <c r="J113" s="330" t="str">
        <f t="shared" si="22"/>
        <v/>
      </c>
      <c r="K113" s="743"/>
      <c r="L113" s="446"/>
      <c r="M113" s="40"/>
      <c r="N113" s="40"/>
      <c r="O113" s="40"/>
      <c r="P113" s="40"/>
      <c r="Q113" s="40"/>
      <c r="R113" s="40"/>
      <c r="S113" s="40"/>
      <c r="T113" s="40"/>
      <c r="U113" s="40"/>
      <c r="V113" s="40"/>
      <c r="W113" s="40"/>
    </row>
    <row r="114" spans="1:23" ht="11.25" hidden="1" customHeight="1" x14ac:dyDescent="0.25">
      <c r="A114" s="407">
        <f>'Org structure'!E136</f>
        <v>0</v>
      </c>
      <c r="B114" s="445"/>
      <c r="C114" s="739"/>
      <c r="D114" s="740"/>
      <c r="E114" s="741"/>
      <c r="F114" s="742"/>
      <c r="G114" s="741"/>
      <c r="H114" s="742"/>
      <c r="I114" s="44">
        <f t="shared" si="21"/>
        <v>0</v>
      </c>
      <c r="J114" s="330" t="str">
        <f t="shared" si="22"/>
        <v/>
      </c>
      <c r="K114" s="743"/>
      <c r="L114" s="446"/>
      <c r="M114" s="40"/>
      <c r="N114" s="40"/>
      <c r="O114" s="40"/>
      <c r="P114" s="40"/>
      <c r="Q114" s="40"/>
      <c r="R114" s="40"/>
      <c r="S114" s="40"/>
      <c r="T114" s="40"/>
      <c r="U114" s="40"/>
      <c r="V114" s="40"/>
      <c r="W114" s="40"/>
    </row>
    <row r="115" spans="1:23" ht="11.25" hidden="1" customHeight="1" x14ac:dyDescent="0.25">
      <c r="A115" s="407">
        <f>'Org structure'!E137</f>
        <v>0</v>
      </c>
      <c r="B115" s="445"/>
      <c r="C115" s="739"/>
      <c r="D115" s="740"/>
      <c r="E115" s="741"/>
      <c r="F115" s="742"/>
      <c r="G115" s="741"/>
      <c r="H115" s="742"/>
      <c r="I115" s="44">
        <f t="shared" si="21"/>
        <v>0</v>
      </c>
      <c r="J115" s="330" t="str">
        <f t="shared" si="22"/>
        <v/>
      </c>
      <c r="K115" s="743"/>
      <c r="L115" s="446"/>
      <c r="M115" s="40"/>
      <c r="N115" s="40"/>
      <c r="O115" s="40"/>
      <c r="P115" s="40"/>
      <c r="Q115" s="40"/>
      <c r="R115" s="40"/>
      <c r="S115" s="40"/>
      <c r="T115" s="40"/>
      <c r="U115" s="40"/>
      <c r="V115" s="40"/>
      <c r="W115" s="40"/>
    </row>
    <row r="116" spans="1:23" ht="11.25" hidden="1" customHeight="1" x14ac:dyDescent="0.25">
      <c r="A116" s="407">
        <f>'Org structure'!E138</f>
        <v>0</v>
      </c>
      <c r="B116" s="445"/>
      <c r="C116" s="739"/>
      <c r="D116" s="740"/>
      <c r="E116" s="741"/>
      <c r="F116" s="742"/>
      <c r="G116" s="741"/>
      <c r="H116" s="742"/>
      <c r="I116" s="44">
        <f t="shared" si="21"/>
        <v>0</v>
      </c>
      <c r="J116" s="330" t="str">
        <f t="shared" si="22"/>
        <v/>
      </c>
      <c r="K116" s="739"/>
      <c r="L116" s="446"/>
      <c r="M116" s="40"/>
      <c r="N116" s="40"/>
      <c r="O116" s="40"/>
      <c r="P116" s="40"/>
      <c r="Q116" s="40"/>
      <c r="R116" s="40"/>
      <c r="S116" s="40"/>
      <c r="T116" s="40"/>
      <c r="U116" s="40"/>
      <c r="V116" s="40"/>
      <c r="W116" s="40"/>
    </row>
    <row r="117" spans="1:23" ht="11.25" hidden="1" customHeight="1" x14ac:dyDescent="0.25">
      <c r="A117" s="407">
        <f>'Org structure'!E139</f>
        <v>0</v>
      </c>
      <c r="B117" s="445"/>
      <c r="C117" s="739"/>
      <c r="D117" s="740"/>
      <c r="E117" s="741"/>
      <c r="F117" s="742"/>
      <c r="G117" s="741"/>
      <c r="H117" s="742"/>
      <c r="I117" s="44">
        <f t="shared" si="21"/>
        <v>0</v>
      </c>
      <c r="J117" s="330" t="str">
        <f t="shared" si="22"/>
        <v/>
      </c>
      <c r="K117" s="743"/>
      <c r="L117" s="446"/>
      <c r="M117" s="40"/>
      <c r="N117" s="40"/>
      <c r="O117" s="40"/>
      <c r="P117" s="40"/>
      <c r="Q117" s="40"/>
      <c r="R117" s="40"/>
      <c r="S117" s="40"/>
      <c r="T117" s="40"/>
      <c r="U117" s="40"/>
      <c r="V117" s="40"/>
      <c r="W117" s="40"/>
    </row>
    <row r="118" spans="1:23" ht="11.25" hidden="1" customHeight="1" x14ac:dyDescent="0.25">
      <c r="A118" s="407">
        <f>'Org structure'!E140</f>
        <v>0</v>
      </c>
      <c r="B118" s="445"/>
      <c r="C118" s="739"/>
      <c r="D118" s="740"/>
      <c r="E118" s="741"/>
      <c r="F118" s="742"/>
      <c r="G118" s="741"/>
      <c r="H118" s="742"/>
      <c r="I118" s="44">
        <f t="shared" si="21"/>
        <v>0</v>
      </c>
      <c r="J118" s="330" t="str">
        <f t="shared" si="22"/>
        <v/>
      </c>
      <c r="K118" s="743"/>
      <c r="L118" s="446"/>
      <c r="M118" s="40"/>
      <c r="N118" s="40"/>
      <c r="O118" s="40"/>
      <c r="P118" s="40"/>
      <c r="Q118" s="40"/>
      <c r="R118" s="40"/>
      <c r="S118" s="40"/>
      <c r="T118" s="40"/>
      <c r="U118" s="40"/>
      <c r="V118" s="40"/>
      <c r="W118" s="40"/>
    </row>
    <row r="119" spans="1:23" ht="11.25" hidden="1" customHeight="1" x14ac:dyDescent="0.25">
      <c r="A119" s="407">
        <f>'Org structure'!E141</f>
        <v>0</v>
      </c>
      <c r="B119" s="445"/>
      <c r="C119" s="739"/>
      <c r="D119" s="740"/>
      <c r="E119" s="741"/>
      <c r="F119" s="742"/>
      <c r="G119" s="741"/>
      <c r="H119" s="742"/>
      <c r="I119" s="44">
        <f t="shared" si="21"/>
        <v>0</v>
      </c>
      <c r="J119" s="330" t="str">
        <f t="shared" si="22"/>
        <v/>
      </c>
      <c r="K119" s="743"/>
      <c r="L119" s="446"/>
      <c r="M119" s="40"/>
      <c r="N119" s="40"/>
      <c r="O119" s="40"/>
      <c r="P119" s="40"/>
      <c r="Q119" s="40"/>
      <c r="R119" s="40"/>
      <c r="S119" s="40"/>
      <c r="T119" s="40"/>
      <c r="U119" s="40"/>
      <c r="V119" s="40"/>
      <c r="W119" s="40"/>
    </row>
    <row r="120" spans="1:23" ht="11.25" hidden="1" customHeight="1" x14ac:dyDescent="0.25">
      <c r="A120" s="407">
        <f>'Org structure'!E142</f>
        <v>0</v>
      </c>
      <c r="B120" s="445"/>
      <c r="C120" s="739"/>
      <c r="D120" s="740"/>
      <c r="E120" s="741"/>
      <c r="F120" s="742"/>
      <c r="G120" s="741"/>
      <c r="H120" s="742"/>
      <c r="I120" s="44">
        <f t="shared" si="21"/>
        <v>0</v>
      </c>
      <c r="J120" s="330" t="str">
        <f t="shared" si="22"/>
        <v/>
      </c>
      <c r="K120" s="743"/>
      <c r="L120" s="446"/>
      <c r="M120" s="40"/>
      <c r="N120" s="40"/>
      <c r="O120" s="40"/>
      <c r="P120" s="40"/>
      <c r="Q120" s="40"/>
      <c r="R120" s="40"/>
      <c r="S120" s="40"/>
      <c r="T120" s="40"/>
      <c r="U120" s="40"/>
      <c r="V120" s="40"/>
      <c r="W120" s="40"/>
    </row>
    <row r="121" spans="1:23" ht="11.25" hidden="1" customHeight="1" x14ac:dyDescent="0.25">
      <c r="A121" s="407">
        <f>'Org structure'!E143</f>
        <v>0</v>
      </c>
      <c r="B121" s="445"/>
      <c r="C121" s="739"/>
      <c r="D121" s="740"/>
      <c r="E121" s="741"/>
      <c r="F121" s="742"/>
      <c r="G121" s="741"/>
      <c r="H121" s="742"/>
      <c r="I121" s="44">
        <f t="shared" si="21"/>
        <v>0</v>
      </c>
      <c r="J121" s="330" t="str">
        <f t="shared" si="22"/>
        <v/>
      </c>
      <c r="K121" s="743"/>
      <c r="L121" s="446"/>
      <c r="M121" s="40"/>
      <c r="N121" s="40"/>
      <c r="O121" s="40"/>
      <c r="P121" s="40"/>
      <c r="Q121" s="40"/>
      <c r="R121" s="40"/>
      <c r="S121" s="40"/>
      <c r="T121" s="40"/>
      <c r="U121" s="40"/>
      <c r="V121" s="40"/>
      <c r="W121" s="40"/>
    </row>
    <row r="122" spans="1:23" ht="11.25" hidden="1" customHeight="1" x14ac:dyDescent="0.25">
      <c r="A122" s="407">
        <f>'Org structure'!E144</f>
        <v>0</v>
      </c>
      <c r="B122" s="445"/>
      <c r="C122" s="739"/>
      <c r="D122" s="740"/>
      <c r="E122" s="741"/>
      <c r="F122" s="742"/>
      <c r="G122" s="741"/>
      <c r="H122" s="742"/>
      <c r="I122" s="44">
        <f t="shared" si="21"/>
        <v>0</v>
      </c>
      <c r="J122" s="330" t="str">
        <f t="shared" si="22"/>
        <v/>
      </c>
      <c r="K122" s="743"/>
      <c r="L122" s="446"/>
      <c r="M122" s="40"/>
      <c r="N122" s="40"/>
      <c r="O122" s="40"/>
      <c r="P122" s="40"/>
      <c r="Q122" s="40"/>
      <c r="R122" s="40"/>
      <c r="S122" s="40"/>
      <c r="T122" s="40"/>
      <c r="U122" s="40"/>
      <c r="V122" s="40"/>
      <c r="W122" s="40"/>
    </row>
    <row r="123" spans="1:23" ht="11.25" hidden="1" customHeight="1" x14ac:dyDescent="0.25">
      <c r="A123" s="466" t="str">
        <f>'Org structure'!A15</f>
        <v>Vote 14 - [NAME OF VOTE 14]</v>
      </c>
      <c r="B123" s="445"/>
      <c r="C123" s="503">
        <f>SUM(C124:C133)</f>
        <v>0</v>
      </c>
      <c r="D123" s="444">
        <f t="shared" ref="D123:K123" si="24">SUM(D124:D133)</f>
        <v>0</v>
      </c>
      <c r="E123" s="441">
        <f t="shared" si="24"/>
        <v>0</v>
      </c>
      <c r="F123" s="443">
        <f t="shared" si="24"/>
        <v>0</v>
      </c>
      <c r="G123" s="441">
        <f t="shared" si="24"/>
        <v>0</v>
      </c>
      <c r="H123" s="443">
        <f t="shared" si="24"/>
        <v>0</v>
      </c>
      <c r="I123" s="44">
        <f t="shared" si="21"/>
        <v>0</v>
      </c>
      <c r="J123" s="330" t="str">
        <f t="shared" si="22"/>
        <v/>
      </c>
      <c r="K123" s="442">
        <f t="shared" si="24"/>
        <v>0</v>
      </c>
      <c r="L123" s="446"/>
      <c r="M123" s="40"/>
      <c r="N123" s="40"/>
      <c r="O123" s="40"/>
      <c r="P123" s="40"/>
      <c r="Q123" s="40"/>
      <c r="R123" s="40"/>
      <c r="S123" s="40"/>
      <c r="T123" s="40"/>
      <c r="U123" s="40"/>
      <c r="V123" s="40"/>
      <c r="W123" s="40"/>
    </row>
    <row r="124" spans="1:23" ht="11.25" hidden="1" customHeight="1" x14ac:dyDescent="0.25">
      <c r="A124" s="407" t="str">
        <f>'Org structure'!E146</f>
        <v>14.1 - [Name of sub-vote]</v>
      </c>
      <c r="B124" s="445"/>
      <c r="C124" s="739"/>
      <c r="D124" s="740"/>
      <c r="E124" s="741"/>
      <c r="F124" s="742"/>
      <c r="G124" s="741"/>
      <c r="H124" s="742"/>
      <c r="I124" s="44">
        <f t="shared" si="21"/>
        <v>0</v>
      </c>
      <c r="J124" s="330" t="str">
        <f t="shared" si="22"/>
        <v/>
      </c>
      <c r="K124" s="743"/>
      <c r="L124" s="446"/>
      <c r="M124" s="40"/>
      <c r="N124" s="40"/>
      <c r="O124" s="40"/>
      <c r="P124" s="40"/>
      <c r="Q124" s="40"/>
      <c r="R124" s="40"/>
      <c r="S124" s="40"/>
      <c r="T124" s="40"/>
      <c r="U124" s="40"/>
      <c r="V124" s="40"/>
      <c r="W124" s="40"/>
    </row>
    <row r="125" spans="1:23" ht="11.25" hidden="1" customHeight="1" x14ac:dyDescent="0.25">
      <c r="A125" s="407">
        <f>'Org structure'!E147</f>
        <v>0</v>
      </c>
      <c r="B125" s="445"/>
      <c r="C125" s="739"/>
      <c r="D125" s="740"/>
      <c r="E125" s="741"/>
      <c r="F125" s="742"/>
      <c r="G125" s="741"/>
      <c r="H125" s="742"/>
      <c r="I125" s="44">
        <f t="shared" si="21"/>
        <v>0</v>
      </c>
      <c r="J125" s="330" t="str">
        <f t="shared" si="22"/>
        <v/>
      </c>
      <c r="K125" s="743"/>
      <c r="L125" s="446"/>
      <c r="M125" s="40"/>
      <c r="N125" s="40"/>
      <c r="O125" s="40"/>
      <c r="P125" s="40"/>
      <c r="Q125" s="40"/>
      <c r="R125" s="40"/>
      <c r="S125" s="40"/>
      <c r="T125" s="40"/>
      <c r="U125" s="40"/>
      <c r="V125" s="40"/>
      <c r="W125" s="40"/>
    </row>
    <row r="126" spans="1:23" ht="11.25" hidden="1" customHeight="1" x14ac:dyDescent="0.25">
      <c r="A126" s="407">
        <f>'Org structure'!E148</f>
        <v>0</v>
      </c>
      <c r="B126" s="445"/>
      <c r="C126" s="739"/>
      <c r="D126" s="740"/>
      <c r="E126" s="741"/>
      <c r="F126" s="742"/>
      <c r="G126" s="741"/>
      <c r="H126" s="742"/>
      <c r="I126" s="44">
        <f t="shared" si="21"/>
        <v>0</v>
      </c>
      <c r="J126" s="330" t="str">
        <f t="shared" si="22"/>
        <v/>
      </c>
      <c r="K126" s="743"/>
      <c r="L126" s="446"/>
      <c r="M126" s="40"/>
      <c r="N126" s="40"/>
      <c r="O126" s="40"/>
      <c r="P126" s="40"/>
      <c r="Q126" s="40"/>
      <c r="R126" s="40"/>
      <c r="S126" s="40"/>
      <c r="T126" s="40"/>
      <c r="U126" s="40"/>
      <c r="V126" s="40"/>
      <c r="W126" s="40"/>
    </row>
    <row r="127" spans="1:23" ht="11.25" hidden="1" customHeight="1" x14ac:dyDescent="0.25">
      <c r="A127" s="407">
        <f>'Org structure'!E149</f>
        <v>0</v>
      </c>
      <c r="B127" s="445"/>
      <c r="C127" s="739"/>
      <c r="D127" s="740"/>
      <c r="E127" s="741"/>
      <c r="F127" s="742"/>
      <c r="G127" s="741"/>
      <c r="H127" s="742"/>
      <c r="I127" s="44">
        <f t="shared" si="21"/>
        <v>0</v>
      </c>
      <c r="J127" s="330" t="str">
        <f t="shared" si="22"/>
        <v/>
      </c>
      <c r="K127" s="743"/>
      <c r="L127" s="446"/>
      <c r="M127" s="40"/>
      <c r="N127" s="40"/>
      <c r="O127" s="40"/>
      <c r="P127" s="40"/>
      <c r="Q127" s="40"/>
      <c r="R127" s="40"/>
      <c r="S127" s="40"/>
      <c r="T127" s="40"/>
      <c r="U127" s="40"/>
      <c r="V127" s="40"/>
      <c r="W127" s="40"/>
    </row>
    <row r="128" spans="1:23" ht="11.25" hidden="1" customHeight="1" x14ac:dyDescent="0.25">
      <c r="A128" s="407">
        <f>'Org structure'!E150</f>
        <v>0</v>
      </c>
      <c r="B128" s="445"/>
      <c r="C128" s="739"/>
      <c r="D128" s="740"/>
      <c r="E128" s="741"/>
      <c r="F128" s="742"/>
      <c r="G128" s="741"/>
      <c r="H128" s="742"/>
      <c r="I128" s="44">
        <f t="shared" si="21"/>
        <v>0</v>
      </c>
      <c r="J128" s="330" t="str">
        <f t="shared" si="22"/>
        <v/>
      </c>
      <c r="K128" s="743"/>
      <c r="L128" s="446"/>
      <c r="M128" s="40"/>
      <c r="N128" s="40"/>
      <c r="O128" s="40"/>
      <c r="P128" s="40"/>
      <c r="Q128" s="40"/>
      <c r="R128" s="40"/>
      <c r="S128" s="40"/>
      <c r="T128" s="40"/>
      <c r="U128" s="40"/>
      <c r="V128" s="40"/>
      <c r="W128" s="40"/>
    </row>
    <row r="129" spans="1:23" ht="11.25" hidden="1" customHeight="1" x14ac:dyDescent="0.25">
      <c r="A129" s="407">
        <f>'Org structure'!E151</f>
        <v>0</v>
      </c>
      <c r="B129" s="445"/>
      <c r="C129" s="739"/>
      <c r="D129" s="740"/>
      <c r="E129" s="741"/>
      <c r="F129" s="742"/>
      <c r="G129" s="741"/>
      <c r="H129" s="742"/>
      <c r="I129" s="44">
        <f t="shared" si="21"/>
        <v>0</v>
      </c>
      <c r="J129" s="330" t="str">
        <f t="shared" si="22"/>
        <v/>
      </c>
      <c r="K129" s="743"/>
      <c r="L129" s="446"/>
      <c r="M129" s="40"/>
      <c r="N129" s="40"/>
      <c r="O129" s="40"/>
      <c r="P129" s="40"/>
      <c r="Q129" s="40"/>
      <c r="R129" s="40"/>
      <c r="S129" s="40"/>
      <c r="T129" s="40"/>
      <c r="U129" s="40"/>
      <c r="V129" s="40"/>
      <c r="W129" s="40"/>
    </row>
    <row r="130" spans="1:23" ht="11.25" hidden="1" customHeight="1" x14ac:dyDescent="0.25">
      <c r="A130" s="407">
        <f>'Org structure'!E152</f>
        <v>0</v>
      </c>
      <c r="B130" s="445"/>
      <c r="C130" s="739"/>
      <c r="D130" s="740"/>
      <c r="E130" s="741"/>
      <c r="F130" s="742"/>
      <c r="G130" s="741"/>
      <c r="H130" s="742"/>
      <c r="I130" s="44">
        <f t="shared" si="21"/>
        <v>0</v>
      </c>
      <c r="J130" s="330" t="str">
        <f t="shared" si="22"/>
        <v/>
      </c>
      <c r="K130" s="743"/>
      <c r="L130" s="446"/>
      <c r="M130" s="40"/>
      <c r="N130" s="40"/>
      <c r="O130" s="40"/>
      <c r="P130" s="40"/>
      <c r="Q130" s="40"/>
      <c r="R130" s="40"/>
      <c r="S130" s="40"/>
      <c r="T130" s="40"/>
      <c r="U130" s="40"/>
      <c r="V130" s="40"/>
      <c r="W130" s="40"/>
    </row>
    <row r="131" spans="1:23" ht="11.25" hidden="1" customHeight="1" x14ac:dyDescent="0.25">
      <c r="A131" s="407">
        <f>'Org structure'!E153</f>
        <v>0</v>
      </c>
      <c r="B131" s="445"/>
      <c r="C131" s="739"/>
      <c r="D131" s="740"/>
      <c r="E131" s="741"/>
      <c r="F131" s="742"/>
      <c r="G131" s="741"/>
      <c r="H131" s="742"/>
      <c r="I131" s="44">
        <f t="shared" si="21"/>
        <v>0</v>
      </c>
      <c r="J131" s="330" t="str">
        <f t="shared" si="22"/>
        <v/>
      </c>
      <c r="K131" s="743"/>
      <c r="L131" s="446"/>
      <c r="M131" s="40"/>
      <c r="N131" s="40"/>
      <c r="O131" s="40"/>
      <c r="P131" s="40"/>
      <c r="Q131" s="40"/>
      <c r="R131" s="40"/>
      <c r="S131" s="40"/>
      <c r="T131" s="40"/>
      <c r="U131" s="40"/>
      <c r="V131" s="40"/>
      <c r="W131" s="40"/>
    </row>
    <row r="132" spans="1:23" ht="11.25" hidden="1" customHeight="1" x14ac:dyDescent="0.25">
      <c r="A132" s="407">
        <f>'Org structure'!E154</f>
        <v>0</v>
      </c>
      <c r="B132" s="445"/>
      <c r="C132" s="739"/>
      <c r="D132" s="740"/>
      <c r="E132" s="741"/>
      <c r="F132" s="742"/>
      <c r="G132" s="741"/>
      <c r="H132" s="742"/>
      <c r="I132" s="44">
        <f t="shared" si="21"/>
        <v>0</v>
      </c>
      <c r="J132" s="330" t="str">
        <f t="shared" si="22"/>
        <v/>
      </c>
      <c r="K132" s="743"/>
      <c r="L132" s="446"/>
      <c r="M132" s="40"/>
      <c r="N132" s="40"/>
      <c r="O132" s="40"/>
      <c r="P132" s="40"/>
      <c r="Q132" s="40"/>
      <c r="R132" s="40"/>
      <c r="S132" s="40"/>
      <c r="T132" s="40"/>
      <c r="U132" s="40"/>
      <c r="V132" s="40"/>
      <c r="W132" s="40"/>
    </row>
    <row r="133" spans="1:23" ht="11.25" hidden="1" customHeight="1" x14ac:dyDescent="0.25">
      <c r="A133" s="407">
        <f>'Org structure'!E155</f>
        <v>0</v>
      </c>
      <c r="B133" s="445"/>
      <c r="C133" s="739"/>
      <c r="D133" s="740"/>
      <c r="E133" s="741"/>
      <c r="F133" s="742"/>
      <c r="G133" s="741"/>
      <c r="H133" s="742"/>
      <c r="I133" s="44">
        <f t="shared" si="21"/>
        <v>0</v>
      </c>
      <c r="J133" s="330" t="str">
        <f t="shared" si="22"/>
        <v/>
      </c>
      <c r="K133" s="743"/>
      <c r="L133" s="446"/>
      <c r="M133" s="40"/>
      <c r="N133" s="40"/>
      <c r="O133" s="40"/>
      <c r="P133" s="40"/>
      <c r="Q133" s="40"/>
      <c r="R133" s="40"/>
      <c r="S133" s="40"/>
      <c r="T133" s="40"/>
      <c r="U133" s="40"/>
      <c r="V133" s="40"/>
      <c r="W133" s="40"/>
    </row>
    <row r="134" spans="1:23" ht="11.25" hidden="1" customHeight="1" x14ac:dyDescent="0.25">
      <c r="A134" s="466" t="str">
        <f>'Org structure'!A16</f>
        <v>Vote 15 - [NAME OF VOTE 15]</v>
      </c>
      <c r="B134" s="445"/>
      <c r="C134" s="503">
        <f>SUM(C135:C144)</f>
        <v>0</v>
      </c>
      <c r="D134" s="444">
        <f t="shared" ref="D134:K134" si="25">SUM(D135:D144)</f>
        <v>0</v>
      </c>
      <c r="E134" s="441">
        <f t="shared" si="25"/>
        <v>0</v>
      </c>
      <c r="F134" s="443">
        <f t="shared" si="25"/>
        <v>0</v>
      </c>
      <c r="G134" s="441">
        <f t="shared" si="25"/>
        <v>0</v>
      </c>
      <c r="H134" s="443">
        <f t="shared" si="25"/>
        <v>0</v>
      </c>
      <c r="I134" s="44">
        <f t="shared" si="21"/>
        <v>0</v>
      </c>
      <c r="J134" s="330" t="str">
        <f t="shared" si="22"/>
        <v/>
      </c>
      <c r="K134" s="442">
        <f t="shared" si="25"/>
        <v>0</v>
      </c>
      <c r="L134" s="446"/>
      <c r="M134" s="40"/>
      <c r="N134" s="40"/>
      <c r="O134" s="40"/>
      <c r="P134" s="40"/>
      <c r="Q134" s="40"/>
      <c r="R134" s="40"/>
      <c r="S134" s="40"/>
      <c r="T134" s="40"/>
      <c r="U134" s="40"/>
      <c r="V134" s="40"/>
      <c r="W134" s="40"/>
    </row>
    <row r="135" spans="1:23" ht="11.25" hidden="1" customHeight="1" x14ac:dyDescent="0.25">
      <c r="A135" s="407" t="str">
        <f>'Org structure'!E157</f>
        <v>15.1 - [Name of sub-vote]</v>
      </c>
      <c r="B135" s="445"/>
      <c r="C135" s="739"/>
      <c r="D135" s="740"/>
      <c r="E135" s="741"/>
      <c r="F135" s="742"/>
      <c r="G135" s="741"/>
      <c r="H135" s="742"/>
      <c r="I135" s="44">
        <f t="shared" si="21"/>
        <v>0</v>
      </c>
      <c r="J135" s="330" t="str">
        <f t="shared" si="22"/>
        <v/>
      </c>
      <c r="K135" s="743"/>
      <c r="L135" s="446"/>
      <c r="M135" s="40"/>
      <c r="N135" s="40"/>
      <c r="O135" s="40"/>
      <c r="P135" s="40"/>
      <c r="Q135" s="40"/>
      <c r="R135" s="40"/>
      <c r="S135" s="40"/>
      <c r="T135" s="40"/>
      <c r="U135" s="40"/>
      <c r="V135" s="40"/>
      <c r="W135" s="40"/>
    </row>
    <row r="136" spans="1:23" ht="11.25" hidden="1" customHeight="1" x14ac:dyDescent="0.25">
      <c r="A136" s="407">
        <f>'Org structure'!E158</f>
        <v>0</v>
      </c>
      <c r="B136" s="445"/>
      <c r="C136" s="739"/>
      <c r="D136" s="740"/>
      <c r="E136" s="741"/>
      <c r="F136" s="742"/>
      <c r="G136" s="741"/>
      <c r="H136" s="742"/>
      <c r="I136" s="44">
        <f t="shared" si="21"/>
        <v>0</v>
      </c>
      <c r="J136" s="330" t="str">
        <f t="shared" si="22"/>
        <v/>
      </c>
      <c r="K136" s="743"/>
      <c r="L136" s="446"/>
      <c r="M136" s="40"/>
      <c r="N136" s="40"/>
      <c r="O136" s="40"/>
      <c r="P136" s="40"/>
      <c r="Q136" s="40"/>
      <c r="R136" s="40"/>
      <c r="S136" s="40"/>
      <c r="T136" s="40"/>
      <c r="U136" s="40"/>
      <c r="V136" s="40"/>
      <c r="W136" s="40"/>
    </row>
    <row r="137" spans="1:23" ht="11.25" hidden="1" customHeight="1" x14ac:dyDescent="0.25">
      <c r="A137" s="407">
        <f>'Org structure'!E159</f>
        <v>0</v>
      </c>
      <c r="B137" s="445"/>
      <c r="C137" s="739"/>
      <c r="D137" s="740"/>
      <c r="E137" s="741"/>
      <c r="F137" s="742"/>
      <c r="G137" s="741"/>
      <c r="H137" s="742"/>
      <c r="I137" s="44">
        <f t="shared" si="21"/>
        <v>0</v>
      </c>
      <c r="J137" s="330" t="str">
        <f t="shared" si="22"/>
        <v/>
      </c>
      <c r="K137" s="743"/>
      <c r="L137" s="446"/>
      <c r="M137" s="40"/>
      <c r="N137" s="40"/>
      <c r="O137" s="40"/>
      <c r="P137" s="40"/>
      <c r="Q137" s="40"/>
      <c r="R137" s="40"/>
      <c r="S137" s="40"/>
      <c r="T137" s="40"/>
      <c r="U137" s="40"/>
      <c r="V137" s="40"/>
      <c r="W137" s="40"/>
    </row>
    <row r="138" spans="1:23" ht="11.25" hidden="1" customHeight="1" x14ac:dyDescent="0.25">
      <c r="A138" s="407">
        <f>'Org structure'!E160</f>
        <v>0</v>
      </c>
      <c r="B138" s="445"/>
      <c r="C138" s="739"/>
      <c r="D138" s="740"/>
      <c r="E138" s="741"/>
      <c r="F138" s="742"/>
      <c r="G138" s="741"/>
      <c r="H138" s="742"/>
      <c r="I138" s="44">
        <f t="shared" si="21"/>
        <v>0</v>
      </c>
      <c r="J138" s="330" t="str">
        <f t="shared" si="22"/>
        <v/>
      </c>
      <c r="K138" s="743"/>
      <c r="L138" s="446"/>
      <c r="M138" s="40"/>
      <c r="N138" s="40"/>
      <c r="O138" s="40"/>
      <c r="P138" s="40"/>
      <c r="Q138" s="40"/>
      <c r="R138" s="40"/>
      <c r="S138" s="40"/>
      <c r="T138" s="40"/>
      <c r="U138" s="40"/>
      <c r="V138" s="40"/>
      <c r="W138" s="40"/>
    </row>
    <row r="139" spans="1:23" ht="11.25" hidden="1" customHeight="1" x14ac:dyDescent="0.25">
      <c r="A139" s="407">
        <f>'Org structure'!E161</f>
        <v>0</v>
      </c>
      <c r="B139" s="445"/>
      <c r="C139" s="739"/>
      <c r="D139" s="740"/>
      <c r="E139" s="741"/>
      <c r="F139" s="742"/>
      <c r="G139" s="741"/>
      <c r="H139" s="742"/>
      <c r="I139" s="44">
        <f t="shared" si="21"/>
        <v>0</v>
      </c>
      <c r="J139" s="330" t="str">
        <f t="shared" si="22"/>
        <v/>
      </c>
      <c r="K139" s="743"/>
      <c r="L139" s="446"/>
      <c r="M139" s="40"/>
      <c r="N139" s="40"/>
      <c r="O139" s="40"/>
      <c r="P139" s="40"/>
      <c r="Q139" s="40"/>
      <c r="R139" s="40"/>
      <c r="S139" s="40"/>
      <c r="T139" s="40"/>
      <c r="U139" s="40"/>
      <c r="V139" s="40"/>
      <c r="W139" s="40"/>
    </row>
    <row r="140" spans="1:23" ht="11.25" hidden="1" customHeight="1" x14ac:dyDescent="0.25">
      <c r="A140" s="407">
        <f>'Org structure'!E162</f>
        <v>0</v>
      </c>
      <c r="B140" s="445"/>
      <c r="C140" s="739"/>
      <c r="D140" s="740"/>
      <c r="E140" s="741"/>
      <c r="F140" s="742"/>
      <c r="G140" s="741"/>
      <c r="H140" s="742"/>
      <c r="I140" s="44">
        <f t="shared" si="21"/>
        <v>0</v>
      </c>
      <c r="J140" s="330" t="str">
        <f t="shared" si="22"/>
        <v/>
      </c>
      <c r="K140" s="743"/>
      <c r="L140" s="446"/>
      <c r="M140" s="40"/>
      <c r="N140" s="40"/>
      <c r="O140" s="40"/>
      <c r="P140" s="40"/>
      <c r="Q140" s="40"/>
      <c r="R140" s="40"/>
      <c r="S140" s="40"/>
      <c r="T140" s="40"/>
      <c r="U140" s="40"/>
      <c r="V140" s="40"/>
      <c r="W140" s="40"/>
    </row>
    <row r="141" spans="1:23" ht="11.25" hidden="1" customHeight="1" x14ac:dyDescent="0.25">
      <c r="A141" s="407">
        <f>'Org structure'!E163</f>
        <v>0</v>
      </c>
      <c r="B141" s="445"/>
      <c r="C141" s="739"/>
      <c r="D141" s="740"/>
      <c r="E141" s="741"/>
      <c r="F141" s="742"/>
      <c r="G141" s="741"/>
      <c r="H141" s="742"/>
      <c r="I141" s="44">
        <f t="shared" si="21"/>
        <v>0</v>
      </c>
      <c r="J141" s="330" t="str">
        <f t="shared" si="22"/>
        <v/>
      </c>
      <c r="K141" s="743"/>
      <c r="L141" s="446"/>
      <c r="M141" s="40"/>
      <c r="N141" s="40"/>
      <c r="O141" s="40"/>
      <c r="P141" s="40"/>
      <c r="Q141" s="40"/>
      <c r="R141" s="40"/>
      <c r="S141" s="40"/>
      <c r="T141" s="40"/>
      <c r="U141" s="40"/>
      <c r="V141" s="40"/>
      <c r="W141" s="40"/>
    </row>
    <row r="142" spans="1:23" ht="11.25" hidden="1" customHeight="1" x14ac:dyDescent="0.25">
      <c r="A142" s="407">
        <f>'Org structure'!E164</f>
        <v>0</v>
      </c>
      <c r="B142" s="445"/>
      <c r="C142" s="739"/>
      <c r="D142" s="740"/>
      <c r="E142" s="741"/>
      <c r="F142" s="742"/>
      <c r="G142" s="741"/>
      <c r="H142" s="742"/>
      <c r="I142" s="44">
        <f t="shared" si="21"/>
        <v>0</v>
      </c>
      <c r="J142" s="330" t="str">
        <f t="shared" si="22"/>
        <v/>
      </c>
      <c r="K142" s="743"/>
      <c r="L142" s="446"/>
      <c r="M142" s="40"/>
      <c r="N142" s="40"/>
      <c r="O142" s="40"/>
      <c r="P142" s="40"/>
      <c r="Q142" s="40"/>
      <c r="R142" s="40"/>
      <c r="S142" s="40"/>
      <c r="T142" s="40"/>
      <c r="U142" s="40"/>
      <c r="V142" s="40"/>
      <c r="W142" s="40"/>
    </row>
    <row r="143" spans="1:23" ht="11.25" hidden="1" customHeight="1" x14ac:dyDescent="0.25">
      <c r="A143" s="407">
        <f>'Org structure'!E165</f>
        <v>0</v>
      </c>
      <c r="B143" s="445"/>
      <c r="C143" s="739"/>
      <c r="D143" s="740"/>
      <c r="E143" s="741"/>
      <c r="F143" s="742"/>
      <c r="G143" s="741"/>
      <c r="H143" s="742"/>
      <c r="I143" s="44">
        <f t="shared" si="21"/>
        <v>0</v>
      </c>
      <c r="J143" s="330" t="str">
        <f t="shared" si="22"/>
        <v/>
      </c>
      <c r="K143" s="743"/>
      <c r="L143" s="446"/>
      <c r="M143" s="40"/>
      <c r="N143" s="40"/>
      <c r="O143" s="40"/>
      <c r="P143" s="40"/>
      <c r="Q143" s="40"/>
      <c r="R143" s="40"/>
      <c r="S143" s="40"/>
      <c r="T143" s="40"/>
      <c r="U143" s="40"/>
      <c r="V143" s="40"/>
      <c r="W143" s="40"/>
    </row>
    <row r="144" spans="1:23" ht="11.25" hidden="1" customHeight="1" x14ac:dyDescent="0.25">
      <c r="A144" s="407">
        <f>'Org structure'!E166</f>
        <v>0</v>
      </c>
      <c r="B144" s="445"/>
      <c r="C144" s="739"/>
      <c r="D144" s="740"/>
      <c r="E144" s="741"/>
      <c r="F144" s="742"/>
      <c r="G144" s="741"/>
      <c r="H144" s="742"/>
      <c r="I144" s="44">
        <f t="shared" si="21"/>
        <v>0</v>
      </c>
      <c r="J144" s="330" t="str">
        <f t="shared" si="22"/>
        <v/>
      </c>
      <c r="K144" s="743"/>
      <c r="L144" s="452">
        <f t="shared" ref="L144:W144" si="26">SUM(L52:L55)</f>
        <v>0</v>
      </c>
      <c r="M144" s="453">
        <f t="shared" si="26"/>
        <v>0</v>
      </c>
      <c r="N144" s="453">
        <f t="shared" si="26"/>
        <v>0</v>
      </c>
      <c r="O144" s="453">
        <f t="shared" si="26"/>
        <v>0</v>
      </c>
      <c r="P144" s="453">
        <f t="shared" si="26"/>
        <v>0</v>
      </c>
      <c r="Q144" s="453">
        <f t="shared" si="26"/>
        <v>0</v>
      </c>
      <c r="R144" s="453">
        <f t="shared" si="26"/>
        <v>0</v>
      </c>
      <c r="S144" s="453">
        <f t="shared" si="26"/>
        <v>0</v>
      </c>
      <c r="T144" s="453">
        <f t="shared" si="26"/>
        <v>0</v>
      </c>
      <c r="U144" s="453">
        <f t="shared" si="26"/>
        <v>0</v>
      </c>
      <c r="V144" s="453">
        <f t="shared" si="26"/>
        <v>0</v>
      </c>
      <c r="W144" s="453">
        <f t="shared" si="26"/>
        <v>0</v>
      </c>
    </row>
    <row r="145" spans="1:23" ht="12.75" customHeight="1" x14ac:dyDescent="0.25">
      <c r="A145" s="447" t="s">
        <v>798</v>
      </c>
      <c r="B145" s="415"/>
      <c r="C145" s="504">
        <f>C7+C12+C18+C23+C29+C35+C46+C57+C68+C79+C90+C101+C112+C123+C134</f>
        <v>0</v>
      </c>
      <c r="D145" s="451">
        <f>D7+D12+D18+D23+D29+D35</f>
        <v>509167581</v>
      </c>
      <c r="E145" s="448">
        <f>E7+E12+E18+E23+E29+E35+E46+E57+E68+E79+E90+E101+E112+E123+E134</f>
        <v>509167581</v>
      </c>
      <c r="F145" s="450">
        <f>F7+F12+F18+F23+F29+F35+F46+F57+F68+F79+F90+F101+F112+F123+F134</f>
        <v>65447248.239999995</v>
      </c>
      <c r="G145" s="448">
        <f>G7+G12+G18+G23+G29+G35+G46+G57+G68+G79+G90+G101+G112+G123+G134</f>
        <v>233550570.56</v>
      </c>
      <c r="H145" s="450">
        <f>H7+H12+H18+H23+H29+H35+H46+H57+H68+H79+H90+H101+H112+H123+H134</f>
        <v>254583790.5</v>
      </c>
      <c r="I145" s="514">
        <f t="shared" si="21"/>
        <v>-21033219.939999998</v>
      </c>
      <c r="J145" s="515">
        <f t="shared" si="22"/>
        <v>-8.2618064169328945E-2</v>
      </c>
      <c r="K145" s="449">
        <f>K7+K12+K18+K23+K29+K35+K46+K57+K68+K79+K90+K101+K112+K123+K134</f>
        <v>509167581</v>
      </c>
      <c r="L145" s="446"/>
      <c r="M145" s="40"/>
      <c r="N145" s="40"/>
      <c r="O145" s="40"/>
      <c r="P145" s="40"/>
      <c r="Q145" s="40"/>
      <c r="R145" s="40"/>
      <c r="S145" s="40"/>
      <c r="T145" s="40"/>
      <c r="U145" s="40"/>
      <c r="V145" s="40"/>
      <c r="W145" s="40"/>
    </row>
    <row r="146" spans="1:23" ht="3" customHeight="1" x14ac:dyDescent="0.25">
      <c r="A146" s="454"/>
      <c r="B146" s="455"/>
      <c r="C146" s="505"/>
      <c r="D146" s="459"/>
      <c r="E146" s="456"/>
      <c r="F146" s="458"/>
      <c r="G146" s="456"/>
      <c r="H146" s="458"/>
      <c r="I146" s="115">
        <f t="shared" si="21"/>
        <v>0</v>
      </c>
      <c r="J146" s="133" t="str">
        <f t="shared" si="22"/>
        <v/>
      </c>
      <c r="K146" s="457"/>
      <c r="L146" s="446"/>
      <c r="M146" s="40"/>
      <c r="N146" s="40"/>
      <c r="O146" s="40"/>
      <c r="P146" s="40"/>
      <c r="Q146" s="40"/>
      <c r="R146" s="40"/>
      <c r="S146" s="40"/>
      <c r="T146" s="40"/>
      <c r="U146" s="40"/>
      <c r="V146" s="40"/>
      <c r="W146" s="40"/>
    </row>
    <row r="147" spans="1:23" ht="12" customHeight="1" x14ac:dyDescent="0.25">
      <c r="A147" s="35" t="s">
        <v>797</v>
      </c>
      <c r="B147" s="461"/>
      <c r="C147" s="506"/>
      <c r="D147" s="465"/>
      <c r="E147" s="462"/>
      <c r="F147" s="464"/>
      <c r="G147" s="462"/>
      <c r="H147" s="464"/>
      <c r="I147" s="709"/>
      <c r="J147" s="710"/>
      <c r="K147" s="463"/>
      <c r="L147" s="446"/>
      <c r="M147" s="40"/>
      <c r="N147" s="40"/>
      <c r="O147" s="40"/>
      <c r="P147" s="40"/>
      <c r="Q147" s="40"/>
      <c r="R147" s="40"/>
      <c r="S147" s="40"/>
      <c r="T147" s="40"/>
      <c r="U147" s="40"/>
      <c r="V147" s="40"/>
      <c r="W147" s="40"/>
    </row>
    <row r="148" spans="1:23" ht="11.25" customHeight="1" x14ac:dyDescent="0.25">
      <c r="A148" s="35" t="s">
        <v>801</v>
      </c>
      <c r="B148" s="415">
        <v>1</v>
      </c>
      <c r="C148" s="704"/>
      <c r="D148" s="705"/>
      <c r="E148" s="706"/>
      <c r="F148" s="707"/>
      <c r="G148" s="706"/>
      <c r="H148" s="707"/>
      <c r="I148" s="44">
        <f t="shared" si="21"/>
        <v>0</v>
      </c>
      <c r="J148" s="330" t="str">
        <f t="shared" si="22"/>
        <v/>
      </c>
      <c r="K148" s="708"/>
      <c r="L148" s="446"/>
      <c r="M148" s="40"/>
      <c r="N148" s="40"/>
      <c r="O148" s="40"/>
      <c r="P148" s="40"/>
      <c r="Q148" s="40"/>
      <c r="R148" s="40"/>
      <c r="S148" s="40"/>
      <c r="T148" s="40"/>
      <c r="U148" s="40"/>
      <c r="V148" s="40"/>
      <c r="W148" s="40"/>
    </row>
    <row r="149" spans="1:23" ht="11.25" customHeight="1" x14ac:dyDescent="0.25">
      <c r="A149" s="466" t="str">
        <f>'Org structure'!A2</f>
        <v>Vote 1 - City Manager</v>
      </c>
      <c r="B149" s="467"/>
      <c r="C149" s="507">
        <f t="shared" ref="C149:K149" si="27">SUM(C150:C159)</f>
        <v>0</v>
      </c>
      <c r="D149" s="471">
        <f t="shared" si="27"/>
        <v>0</v>
      </c>
      <c r="E149" s="468">
        <f t="shared" si="27"/>
        <v>0</v>
      </c>
      <c r="F149" s="470">
        <f t="shared" si="27"/>
        <v>0</v>
      </c>
      <c r="G149" s="468">
        <f t="shared" si="27"/>
        <v>1142694.8500000001</v>
      </c>
      <c r="H149" s="470">
        <f t="shared" si="27"/>
        <v>0</v>
      </c>
      <c r="I149" s="44">
        <f t="shared" si="21"/>
        <v>1142694.8500000001</v>
      </c>
      <c r="J149" s="330" t="e">
        <f t="shared" si="22"/>
        <v>#DIV/0!</v>
      </c>
      <c r="K149" s="469">
        <f t="shared" si="27"/>
        <v>0</v>
      </c>
      <c r="L149" s="446"/>
      <c r="M149" s="40"/>
      <c r="N149" s="40"/>
      <c r="O149" s="40"/>
      <c r="P149" s="40"/>
      <c r="Q149" s="40"/>
      <c r="R149" s="40"/>
      <c r="S149" s="40"/>
      <c r="T149" s="40"/>
      <c r="U149" s="40"/>
      <c r="V149" s="40"/>
      <c r="W149" s="40"/>
    </row>
    <row r="150" spans="1:23" ht="11.25" customHeight="1" x14ac:dyDescent="0.25">
      <c r="A150" s="407" t="str">
        <f>'Org structure'!E3</f>
        <v>1.1 - Internal Audit and Compliance</v>
      </c>
      <c r="B150" s="445"/>
      <c r="C150" s="744"/>
      <c r="D150" s="745"/>
      <c r="E150" s="733"/>
      <c r="F150" s="746"/>
      <c r="G150" s="733"/>
      <c r="H150" s="746"/>
      <c r="I150" s="44">
        <f t="shared" si="21"/>
        <v>0</v>
      </c>
      <c r="J150" s="330" t="str">
        <f t="shared" si="22"/>
        <v/>
      </c>
      <c r="K150" s="747"/>
      <c r="L150" s="446"/>
      <c r="M150" s="40"/>
      <c r="N150" s="40"/>
      <c r="O150" s="40"/>
      <c r="P150" s="40"/>
      <c r="Q150" s="40"/>
      <c r="R150" s="40"/>
      <c r="S150" s="40"/>
      <c r="T150" s="40"/>
      <c r="U150" s="40"/>
      <c r="V150" s="40"/>
      <c r="W150" s="40"/>
    </row>
    <row r="151" spans="1:23" ht="11.25" customHeight="1" x14ac:dyDescent="0.25">
      <c r="A151" s="407" t="str">
        <f>'Org structure'!E4</f>
        <v>1.2 - Office of the City Manager</v>
      </c>
      <c r="B151" s="445"/>
      <c r="C151" s="744"/>
      <c r="D151" s="745"/>
      <c r="E151" s="733"/>
      <c r="F151" s="746"/>
      <c r="G151" s="733">
        <v>1142694.8500000001</v>
      </c>
      <c r="H151" s="746"/>
      <c r="I151" s="44">
        <f t="shared" si="21"/>
        <v>1142694.8500000001</v>
      </c>
      <c r="J151" s="330" t="e">
        <f t="shared" si="22"/>
        <v>#DIV/0!</v>
      </c>
      <c r="K151" s="747"/>
      <c r="L151" s="446"/>
      <c r="M151" s="40"/>
      <c r="N151" s="40"/>
      <c r="O151" s="40"/>
      <c r="P151" s="40"/>
      <c r="Q151" s="40"/>
      <c r="R151" s="40"/>
      <c r="S151" s="40"/>
      <c r="T151" s="40"/>
      <c r="U151" s="40"/>
      <c r="V151" s="40"/>
      <c r="W151" s="40"/>
    </row>
    <row r="152" spans="1:23" ht="11.25" customHeight="1" x14ac:dyDescent="0.25">
      <c r="A152" s="407" t="str">
        <f>'Org structure'!E5</f>
        <v>1.3 - Political Support</v>
      </c>
      <c r="B152" s="445"/>
      <c r="C152" s="744"/>
      <c r="D152" s="745"/>
      <c r="E152" s="733"/>
      <c r="F152" s="746"/>
      <c r="G152" s="733"/>
      <c r="H152" s="746"/>
      <c r="I152" s="44">
        <f t="shared" si="21"/>
        <v>0</v>
      </c>
      <c r="J152" s="330" t="str">
        <f t="shared" si="22"/>
        <v/>
      </c>
      <c r="K152" s="747"/>
      <c r="L152" s="446"/>
      <c r="M152" s="40"/>
      <c r="N152" s="40"/>
      <c r="O152" s="40"/>
      <c r="P152" s="40"/>
      <c r="Q152" s="40"/>
      <c r="R152" s="40"/>
      <c r="S152" s="40"/>
      <c r="T152" s="40"/>
      <c r="U152" s="40"/>
      <c r="V152" s="40"/>
      <c r="W152" s="40"/>
    </row>
    <row r="153" spans="1:23" ht="11.25" customHeight="1" x14ac:dyDescent="0.25">
      <c r="A153" s="407" t="str">
        <f>'Org structure'!E6</f>
        <v>1.4 - Strategic Planning</v>
      </c>
      <c r="B153" s="445"/>
      <c r="C153" s="744"/>
      <c r="D153" s="745"/>
      <c r="E153" s="733"/>
      <c r="F153" s="746"/>
      <c r="G153" s="733"/>
      <c r="H153" s="746"/>
      <c r="I153" s="44">
        <f t="shared" si="21"/>
        <v>0</v>
      </c>
      <c r="J153" s="330" t="str">
        <f t="shared" si="22"/>
        <v/>
      </c>
      <c r="K153" s="747"/>
      <c r="L153" s="446"/>
      <c r="M153" s="40"/>
      <c r="N153" s="40"/>
      <c r="O153" s="40"/>
      <c r="P153" s="40"/>
      <c r="Q153" s="40"/>
      <c r="R153" s="40"/>
      <c r="S153" s="40"/>
      <c r="T153" s="40"/>
      <c r="U153" s="40"/>
      <c r="V153" s="40"/>
      <c r="W153" s="40"/>
    </row>
    <row r="154" spans="1:23" ht="11.25" hidden="1" customHeight="1" x14ac:dyDescent="0.25">
      <c r="A154" s="407">
        <f>'Org structure'!E7</f>
        <v>0</v>
      </c>
      <c r="B154" s="445"/>
      <c r="C154" s="744"/>
      <c r="D154" s="745"/>
      <c r="E154" s="733"/>
      <c r="F154" s="746"/>
      <c r="G154" s="733"/>
      <c r="H154" s="746"/>
      <c r="I154" s="44">
        <f t="shared" si="21"/>
        <v>0</v>
      </c>
      <c r="J154" s="330" t="str">
        <f t="shared" si="22"/>
        <v/>
      </c>
      <c r="K154" s="747"/>
      <c r="L154" s="446"/>
      <c r="M154" s="40"/>
      <c r="N154" s="40"/>
      <c r="O154" s="40"/>
      <c r="P154" s="40"/>
      <c r="Q154" s="40"/>
      <c r="R154" s="40"/>
      <c r="S154" s="40"/>
      <c r="T154" s="40"/>
      <c r="U154" s="40"/>
      <c r="V154" s="40"/>
      <c r="W154" s="40"/>
    </row>
    <row r="155" spans="1:23" ht="11.25" hidden="1" customHeight="1" x14ac:dyDescent="0.25">
      <c r="A155" s="407">
        <f>'Org structure'!E8</f>
        <v>0</v>
      </c>
      <c r="B155" s="445"/>
      <c r="C155" s="744"/>
      <c r="D155" s="745"/>
      <c r="E155" s="733"/>
      <c r="F155" s="746"/>
      <c r="G155" s="733"/>
      <c r="H155" s="746"/>
      <c r="I155" s="44">
        <f t="shared" si="21"/>
        <v>0</v>
      </c>
      <c r="J155" s="330" t="str">
        <f t="shared" si="22"/>
        <v/>
      </c>
      <c r="K155" s="747"/>
      <c r="L155" s="446"/>
      <c r="M155" s="40"/>
      <c r="N155" s="40"/>
      <c r="O155" s="40"/>
      <c r="P155" s="40"/>
      <c r="Q155" s="40"/>
      <c r="R155" s="40"/>
      <c r="S155" s="40"/>
      <c r="T155" s="40"/>
      <c r="U155" s="40"/>
      <c r="V155" s="40"/>
      <c r="W155" s="40"/>
    </row>
    <row r="156" spans="1:23" ht="11.25" hidden="1" customHeight="1" x14ac:dyDescent="0.25">
      <c r="A156" s="407">
        <f>'Org structure'!E9</f>
        <v>0</v>
      </c>
      <c r="B156" s="445"/>
      <c r="C156" s="744"/>
      <c r="D156" s="745"/>
      <c r="E156" s="733"/>
      <c r="F156" s="746"/>
      <c r="G156" s="733"/>
      <c r="H156" s="746"/>
      <c r="I156" s="44">
        <f t="shared" si="21"/>
        <v>0</v>
      </c>
      <c r="J156" s="330" t="str">
        <f t="shared" si="22"/>
        <v/>
      </c>
      <c r="K156" s="747"/>
      <c r="L156" s="446"/>
      <c r="M156" s="40"/>
      <c r="N156" s="40"/>
      <c r="O156" s="40"/>
      <c r="P156" s="40"/>
      <c r="Q156" s="40"/>
      <c r="R156" s="40"/>
      <c r="S156" s="40"/>
      <c r="T156" s="40"/>
      <c r="U156" s="40"/>
      <c r="V156" s="40"/>
      <c r="W156" s="40"/>
    </row>
    <row r="157" spans="1:23" ht="11.25" hidden="1" customHeight="1" x14ac:dyDescent="0.25">
      <c r="A157" s="407">
        <f>'Org structure'!E10</f>
        <v>0</v>
      </c>
      <c r="B157" s="445"/>
      <c r="C157" s="744"/>
      <c r="D157" s="745"/>
      <c r="E157" s="733"/>
      <c r="F157" s="746"/>
      <c r="G157" s="733"/>
      <c r="H157" s="746"/>
      <c r="I157" s="44">
        <f t="shared" si="21"/>
        <v>0</v>
      </c>
      <c r="J157" s="330" t="str">
        <f t="shared" si="22"/>
        <v/>
      </c>
      <c r="K157" s="747"/>
      <c r="L157" s="446"/>
      <c r="M157" s="40"/>
      <c r="N157" s="40"/>
      <c r="O157" s="40"/>
      <c r="P157" s="40"/>
      <c r="Q157" s="40"/>
      <c r="R157" s="40"/>
      <c r="S157" s="40"/>
      <c r="T157" s="40"/>
      <c r="U157" s="40"/>
      <c r="V157" s="40"/>
      <c r="W157" s="40"/>
    </row>
    <row r="158" spans="1:23" ht="11.25" hidden="1" customHeight="1" x14ac:dyDescent="0.25">
      <c r="A158" s="407">
        <f>'Org structure'!E11</f>
        <v>0</v>
      </c>
      <c r="B158" s="445"/>
      <c r="C158" s="744"/>
      <c r="D158" s="745"/>
      <c r="E158" s="733"/>
      <c r="F158" s="746"/>
      <c r="G158" s="733"/>
      <c r="H158" s="746"/>
      <c r="I158" s="44">
        <f t="shared" si="21"/>
        <v>0</v>
      </c>
      <c r="J158" s="330" t="str">
        <f t="shared" si="22"/>
        <v/>
      </c>
      <c r="K158" s="747"/>
      <c r="L158" s="446"/>
      <c r="M158" s="40"/>
      <c r="N158" s="40"/>
      <c r="O158" s="40"/>
      <c r="P158" s="40"/>
      <c r="Q158" s="40"/>
      <c r="R158" s="40"/>
      <c r="S158" s="40"/>
      <c r="T158" s="40"/>
      <c r="U158" s="40"/>
      <c r="V158" s="40"/>
      <c r="W158" s="40"/>
    </row>
    <row r="159" spans="1:23" ht="11.25" hidden="1" customHeight="1" x14ac:dyDescent="0.25">
      <c r="A159" s="407">
        <f>'Org structure'!E12</f>
        <v>0</v>
      </c>
      <c r="B159" s="445"/>
      <c r="C159" s="744"/>
      <c r="D159" s="745"/>
      <c r="E159" s="733"/>
      <c r="F159" s="746"/>
      <c r="G159" s="733"/>
      <c r="H159" s="746"/>
      <c r="I159" s="44">
        <f t="shared" si="21"/>
        <v>0</v>
      </c>
      <c r="J159" s="330" t="str">
        <f t="shared" si="22"/>
        <v/>
      </c>
      <c r="K159" s="747"/>
      <c r="L159" s="48"/>
      <c r="M159" s="473"/>
      <c r="N159" s="473"/>
      <c r="O159" s="473"/>
      <c r="P159" s="473"/>
      <c r="Q159" s="473"/>
      <c r="R159" s="473"/>
      <c r="S159" s="473"/>
      <c r="T159" s="473"/>
      <c r="U159" s="473"/>
      <c r="V159" s="473"/>
      <c r="W159" s="473"/>
    </row>
    <row r="160" spans="1:23" ht="11.25" customHeight="1" x14ac:dyDescent="0.25">
      <c r="A160" s="466" t="str">
        <f>'Org structure'!A3</f>
        <v>Vote 2 - City Finance</v>
      </c>
      <c r="B160" s="440"/>
      <c r="C160" s="503">
        <f>SUM(C161:C170)</f>
        <v>0</v>
      </c>
      <c r="D160" s="444">
        <f>SUM(D161:D170)</f>
        <v>15000000</v>
      </c>
      <c r="E160" s="441">
        <f t="shared" ref="E160:K160" si="28">SUM(E161:E170)</f>
        <v>15800000</v>
      </c>
      <c r="F160" s="443">
        <f t="shared" si="28"/>
        <v>156107.73000000001</v>
      </c>
      <c r="G160" s="441">
        <f t="shared" si="28"/>
        <v>361546.49</v>
      </c>
      <c r="H160" s="443">
        <f t="shared" si="28"/>
        <v>7900000</v>
      </c>
      <c r="I160" s="44">
        <f t="shared" si="21"/>
        <v>-7538453.5099999998</v>
      </c>
      <c r="J160" s="330">
        <f t="shared" si="22"/>
        <v>-0.9542346215189873</v>
      </c>
      <c r="K160" s="442">
        <f t="shared" si="28"/>
        <v>15800000</v>
      </c>
      <c r="L160" s="48"/>
      <c r="M160" s="473"/>
      <c r="N160" s="473"/>
      <c r="O160" s="473"/>
      <c r="P160" s="473"/>
      <c r="Q160" s="473"/>
      <c r="R160" s="473"/>
      <c r="S160" s="473"/>
      <c r="T160" s="473"/>
      <c r="U160" s="473"/>
      <c r="V160" s="473"/>
      <c r="W160" s="473"/>
    </row>
    <row r="161" spans="1:23" ht="11.25" customHeight="1" x14ac:dyDescent="0.25">
      <c r="A161" s="407" t="str">
        <f>'Org structure'!E14</f>
        <v>2.1 - Asset Management</v>
      </c>
      <c r="B161" s="445"/>
      <c r="C161" s="744"/>
      <c r="D161" s="745">
        <v>15000000</v>
      </c>
      <c r="E161" s="733">
        <v>15000000</v>
      </c>
      <c r="F161" s="746"/>
      <c r="G161" s="733"/>
      <c r="H161" s="746">
        <f>E161/12*6</f>
        <v>7500000</v>
      </c>
      <c r="I161" s="44">
        <f t="shared" si="21"/>
        <v>-7500000</v>
      </c>
      <c r="J161" s="330">
        <f t="shared" si="22"/>
        <v>-1</v>
      </c>
      <c r="K161" s="747">
        <f>E161</f>
        <v>15000000</v>
      </c>
      <c r="L161" s="48"/>
      <c r="M161" s="473"/>
      <c r="N161" s="473"/>
      <c r="O161" s="473"/>
      <c r="P161" s="473"/>
      <c r="Q161" s="473"/>
      <c r="R161" s="473"/>
      <c r="S161" s="473"/>
      <c r="T161" s="473"/>
      <c r="U161" s="473"/>
      <c r="V161" s="473"/>
      <c r="W161" s="473"/>
    </row>
    <row r="162" spans="1:23" ht="11.25" customHeight="1" x14ac:dyDescent="0.25">
      <c r="A162" s="407" t="str">
        <f>'Org structure'!E15</f>
        <v>2.2 - Budget and Treasury Management</v>
      </c>
      <c r="B162" s="445"/>
      <c r="C162" s="744"/>
      <c r="D162" s="745"/>
      <c r="E162" s="733">
        <v>300000</v>
      </c>
      <c r="F162" s="746">
        <v>156107.73000000001</v>
      </c>
      <c r="G162" s="733">
        <v>361546.49</v>
      </c>
      <c r="H162" s="746">
        <f>E162/12*6</f>
        <v>150000</v>
      </c>
      <c r="I162" s="44">
        <f t="shared" si="21"/>
        <v>211546.49</v>
      </c>
      <c r="J162" s="330">
        <f t="shared" si="22"/>
        <v>1.4103099333333333</v>
      </c>
      <c r="K162" s="747">
        <f>E162</f>
        <v>300000</v>
      </c>
      <c r="L162" s="48"/>
      <c r="M162" s="473"/>
      <c r="N162" s="473"/>
      <c r="O162" s="473"/>
      <c r="P162" s="473"/>
      <c r="Q162" s="473"/>
      <c r="R162" s="473"/>
      <c r="S162" s="473"/>
      <c r="T162" s="473"/>
      <c r="U162" s="473"/>
      <c r="V162" s="473"/>
      <c r="W162" s="473"/>
    </row>
    <row r="163" spans="1:23" ht="11.25" customHeight="1" x14ac:dyDescent="0.25">
      <c r="A163" s="407" t="str">
        <f>'Org structure'!E16</f>
        <v>2.3 - Expenditure Management</v>
      </c>
      <c r="B163" s="445"/>
      <c r="C163" s="744"/>
      <c r="D163" s="745"/>
      <c r="E163" s="733"/>
      <c r="F163" s="746"/>
      <c r="G163" s="733"/>
      <c r="H163" s="746"/>
      <c r="I163" s="44">
        <f t="shared" si="21"/>
        <v>0</v>
      </c>
      <c r="J163" s="330" t="str">
        <f t="shared" si="22"/>
        <v/>
      </c>
      <c r="K163" s="747"/>
      <c r="L163" s="48"/>
      <c r="M163" s="473"/>
      <c r="N163" s="473"/>
      <c r="O163" s="473"/>
      <c r="P163" s="473"/>
      <c r="Q163" s="473"/>
      <c r="R163" s="473"/>
      <c r="S163" s="473"/>
      <c r="T163" s="473"/>
      <c r="U163" s="473"/>
      <c r="V163" s="473"/>
      <c r="W163" s="473"/>
    </row>
    <row r="164" spans="1:23" ht="11.25" customHeight="1" x14ac:dyDescent="0.25">
      <c r="A164" s="407" t="str">
        <f>'Org structure'!E17</f>
        <v>2.4 - Revenue Management</v>
      </c>
      <c r="B164" s="445"/>
      <c r="C164" s="744"/>
      <c r="D164" s="745"/>
      <c r="E164" s="733"/>
      <c r="F164" s="746"/>
      <c r="G164" s="733"/>
      <c r="H164" s="746"/>
      <c r="I164" s="44">
        <f t="shared" si="21"/>
        <v>0</v>
      </c>
      <c r="J164" s="330" t="str">
        <f t="shared" si="22"/>
        <v/>
      </c>
      <c r="K164" s="747"/>
      <c r="L164" s="48"/>
      <c r="M164" s="473"/>
      <c r="N164" s="473"/>
      <c r="O164" s="473"/>
      <c r="P164" s="473"/>
      <c r="Q164" s="473"/>
      <c r="R164" s="473"/>
      <c r="S164" s="473"/>
      <c r="T164" s="473"/>
      <c r="U164" s="473"/>
      <c r="V164" s="473"/>
      <c r="W164" s="473"/>
    </row>
    <row r="165" spans="1:23" ht="11.25" customHeight="1" x14ac:dyDescent="0.25">
      <c r="A165" s="407" t="str">
        <f>'Org structure'!E18</f>
        <v>2.5 - Supply Chain Management</v>
      </c>
      <c r="B165" s="445"/>
      <c r="C165" s="744"/>
      <c r="D165" s="745"/>
      <c r="E165" s="733">
        <v>500000</v>
      </c>
      <c r="F165" s="746"/>
      <c r="G165" s="733"/>
      <c r="H165" s="746">
        <f>E165/12*6</f>
        <v>250000</v>
      </c>
      <c r="I165" s="44">
        <f t="shared" si="21"/>
        <v>-250000</v>
      </c>
      <c r="J165" s="330">
        <f t="shared" si="22"/>
        <v>-1</v>
      </c>
      <c r="K165" s="747">
        <f>E165</f>
        <v>500000</v>
      </c>
      <c r="L165" s="48"/>
      <c r="M165" s="473"/>
      <c r="N165" s="473"/>
      <c r="O165" s="473"/>
      <c r="P165" s="473"/>
      <c r="Q165" s="473"/>
      <c r="R165" s="473"/>
      <c r="S165" s="473"/>
      <c r="T165" s="473"/>
      <c r="U165" s="473"/>
      <c r="V165" s="473"/>
      <c r="W165" s="473"/>
    </row>
    <row r="166" spans="1:23" ht="11.25" hidden="1" customHeight="1" x14ac:dyDescent="0.25">
      <c r="A166" s="407">
        <f>'Org structure'!E19</f>
        <v>0</v>
      </c>
      <c r="B166" s="445"/>
      <c r="C166" s="744"/>
      <c r="D166" s="745"/>
      <c r="E166" s="733"/>
      <c r="F166" s="746"/>
      <c r="G166" s="733"/>
      <c r="H166" s="746"/>
      <c r="I166" s="44">
        <f t="shared" si="21"/>
        <v>0</v>
      </c>
      <c r="J166" s="330" t="str">
        <f t="shared" si="22"/>
        <v/>
      </c>
      <c r="K166" s="747"/>
      <c r="L166" s="48"/>
      <c r="M166" s="473"/>
      <c r="N166" s="473"/>
      <c r="O166" s="473"/>
      <c r="P166" s="473"/>
      <c r="Q166" s="473"/>
      <c r="R166" s="473"/>
      <c r="S166" s="473"/>
      <c r="T166" s="473"/>
      <c r="U166" s="473"/>
      <c r="V166" s="473"/>
      <c r="W166" s="473"/>
    </row>
    <row r="167" spans="1:23" ht="11.25" hidden="1" customHeight="1" x14ac:dyDescent="0.25">
      <c r="A167" s="407">
        <f>'Org structure'!E20</f>
        <v>0</v>
      </c>
      <c r="B167" s="445"/>
      <c r="C167" s="744"/>
      <c r="D167" s="745"/>
      <c r="E167" s="733"/>
      <c r="F167" s="746"/>
      <c r="G167" s="733"/>
      <c r="H167" s="746"/>
      <c r="I167" s="44">
        <f t="shared" si="21"/>
        <v>0</v>
      </c>
      <c r="J167" s="330" t="str">
        <f t="shared" si="22"/>
        <v/>
      </c>
      <c r="K167" s="747"/>
      <c r="L167" s="48"/>
      <c r="M167" s="473"/>
      <c r="N167" s="473"/>
      <c r="O167" s="473"/>
      <c r="P167" s="473"/>
      <c r="Q167" s="473"/>
      <c r="R167" s="473"/>
      <c r="S167" s="473"/>
      <c r="T167" s="473"/>
      <c r="U167" s="473"/>
      <c r="V167" s="473"/>
      <c r="W167" s="473"/>
    </row>
    <row r="168" spans="1:23" ht="11.25" hidden="1" customHeight="1" x14ac:dyDescent="0.25">
      <c r="A168" s="407">
        <f>'Org structure'!E21</f>
        <v>0</v>
      </c>
      <c r="B168" s="445"/>
      <c r="C168" s="744"/>
      <c r="D168" s="745"/>
      <c r="E168" s="733"/>
      <c r="F168" s="746"/>
      <c r="G168" s="733"/>
      <c r="H168" s="746"/>
      <c r="I168" s="44">
        <f t="shared" si="21"/>
        <v>0</v>
      </c>
      <c r="J168" s="330" t="str">
        <f t="shared" si="22"/>
        <v/>
      </c>
      <c r="K168" s="747"/>
      <c r="L168" s="48"/>
      <c r="M168" s="473"/>
      <c r="N168" s="473"/>
      <c r="O168" s="473"/>
      <c r="P168" s="473"/>
      <c r="Q168" s="473"/>
      <c r="R168" s="473"/>
      <c r="S168" s="473"/>
      <c r="T168" s="473"/>
      <c r="U168" s="473"/>
      <c r="V168" s="473"/>
      <c r="W168" s="473"/>
    </row>
    <row r="169" spans="1:23" ht="11.25" hidden="1" customHeight="1" x14ac:dyDescent="0.25">
      <c r="A169" s="407">
        <f>'Org structure'!E22</f>
        <v>0</v>
      </c>
      <c r="B169" s="445"/>
      <c r="C169" s="744"/>
      <c r="D169" s="745"/>
      <c r="E169" s="733"/>
      <c r="F169" s="746"/>
      <c r="G169" s="733"/>
      <c r="H169" s="746"/>
      <c r="I169" s="44">
        <f t="shared" si="21"/>
        <v>0</v>
      </c>
      <c r="J169" s="330" t="str">
        <f t="shared" si="22"/>
        <v/>
      </c>
      <c r="K169" s="747"/>
      <c r="L169" s="48"/>
      <c r="M169" s="473"/>
      <c r="N169" s="473"/>
      <c r="O169" s="473"/>
      <c r="P169" s="473"/>
      <c r="Q169" s="473"/>
      <c r="R169" s="473"/>
      <c r="S169" s="473"/>
      <c r="T169" s="473"/>
      <c r="U169" s="473"/>
      <c r="V169" s="473"/>
      <c r="W169" s="473"/>
    </row>
    <row r="170" spans="1:23" ht="11.25" hidden="1" customHeight="1" x14ac:dyDescent="0.25">
      <c r="A170" s="407">
        <f>'Org structure'!E23</f>
        <v>0</v>
      </c>
      <c r="B170" s="445"/>
      <c r="C170" s="744"/>
      <c r="D170" s="745"/>
      <c r="E170" s="733"/>
      <c r="F170" s="746"/>
      <c r="G170" s="733"/>
      <c r="H170" s="746"/>
      <c r="I170" s="44">
        <f t="shared" si="21"/>
        <v>0</v>
      </c>
      <c r="J170" s="330" t="str">
        <f t="shared" si="22"/>
        <v/>
      </c>
      <c r="K170" s="747"/>
      <c r="L170" s="48"/>
      <c r="M170" s="473"/>
      <c r="N170" s="473"/>
      <c r="O170" s="473"/>
      <c r="P170" s="473"/>
      <c r="Q170" s="473"/>
      <c r="R170" s="473"/>
      <c r="S170" s="473"/>
      <c r="T170" s="473"/>
      <c r="U170" s="473"/>
      <c r="V170" s="473"/>
      <c r="W170" s="473"/>
    </row>
    <row r="171" spans="1:23" ht="11.25" customHeight="1" x14ac:dyDescent="0.25">
      <c r="A171" s="466" t="str">
        <f>'Org structure'!A4</f>
        <v>Vote 3 - Community Services and Social Equity</v>
      </c>
      <c r="B171" s="440"/>
      <c r="C171" s="503">
        <f t="shared" ref="C171:K171" si="29">SUM(C172:C181)</f>
        <v>0</v>
      </c>
      <c r="D171" s="444">
        <f t="shared" si="29"/>
        <v>13700000</v>
      </c>
      <c r="E171" s="441">
        <f t="shared" si="29"/>
        <v>33700000</v>
      </c>
      <c r="F171" s="443">
        <f t="shared" si="29"/>
        <v>0</v>
      </c>
      <c r="G171" s="441">
        <f t="shared" si="29"/>
        <v>0</v>
      </c>
      <c r="H171" s="443">
        <f t="shared" si="29"/>
        <v>16850000</v>
      </c>
      <c r="I171" s="44">
        <f t="shared" si="21"/>
        <v>-16850000</v>
      </c>
      <c r="J171" s="330">
        <f t="shared" si="22"/>
        <v>-1</v>
      </c>
      <c r="K171" s="442">
        <f t="shared" si="29"/>
        <v>33700000</v>
      </c>
      <c r="L171" s="48"/>
      <c r="M171" s="473"/>
      <c r="N171" s="473"/>
      <c r="O171" s="473"/>
      <c r="P171" s="473"/>
      <c r="Q171" s="473"/>
      <c r="R171" s="473"/>
      <c r="S171" s="473"/>
      <c r="T171" s="473"/>
      <c r="U171" s="473"/>
      <c r="V171" s="473"/>
      <c r="W171" s="473"/>
    </row>
    <row r="172" spans="1:23" ht="11.25" customHeight="1" x14ac:dyDescent="0.25">
      <c r="A172" s="407" t="str">
        <f>'Org structure'!E25</f>
        <v xml:space="preserve">3.1 - Area Based Management </v>
      </c>
      <c r="B172" s="445"/>
      <c r="C172" s="744"/>
      <c r="D172" s="745">
        <v>10000000</v>
      </c>
      <c r="E172" s="733">
        <v>10000000</v>
      </c>
      <c r="F172" s="746"/>
      <c r="G172" s="733"/>
      <c r="H172" s="746">
        <f>E172/12*6</f>
        <v>5000000</v>
      </c>
      <c r="I172" s="44">
        <f t="shared" si="21"/>
        <v>-5000000</v>
      </c>
      <c r="J172" s="330">
        <f t="shared" si="22"/>
        <v>-1</v>
      </c>
      <c r="K172" s="747">
        <f>E172</f>
        <v>10000000</v>
      </c>
      <c r="L172" s="48"/>
      <c r="M172" s="473"/>
      <c r="N172" s="473"/>
      <c r="O172" s="473"/>
      <c r="P172" s="473"/>
      <c r="Q172" s="473"/>
      <c r="R172" s="473"/>
      <c r="S172" s="473"/>
      <c r="T172" s="473"/>
      <c r="U172" s="473"/>
      <c r="V172" s="473"/>
      <c r="W172" s="473"/>
    </row>
    <row r="173" spans="1:23" ht="11.25" customHeight="1" x14ac:dyDescent="0.25">
      <c r="A173" s="407" t="str">
        <f>'Org structure'!E26</f>
        <v>3.2 - Public Safety, Emergency Services and Enforcement</v>
      </c>
      <c r="B173" s="445"/>
      <c r="C173" s="744"/>
      <c r="D173" s="745"/>
      <c r="E173" s="733"/>
      <c r="F173" s="746"/>
      <c r="G173" s="733"/>
      <c r="H173" s="746"/>
      <c r="I173" s="44">
        <f t="shared" ref="I173:I236" si="30">G173-H173</f>
        <v>0</v>
      </c>
      <c r="J173" s="330" t="str">
        <f t="shared" ref="J173:J236" si="31">IF(I173=0,"",I173/H173)</f>
        <v/>
      </c>
      <c r="K173" s="747"/>
      <c r="L173" s="48"/>
      <c r="M173" s="473"/>
      <c r="N173" s="473"/>
      <c r="O173" s="473"/>
      <c r="P173" s="473"/>
      <c r="Q173" s="473"/>
      <c r="R173" s="473"/>
      <c r="S173" s="473"/>
      <c r="T173" s="473"/>
      <c r="U173" s="473"/>
      <c r="V173" s="473"/>
      <c r="W173" s="473"/>
    </row>
    <row r="174" spans="1:23" ht="11.25" customHeight="1" x14ac:dyDescent="0.25">
      <c r="A174" s="407" t="str">
        <f>'Org structure'!E27</f>
        <v>3.3 - Recreation and Facilities</v>
      </c>
      <c r="B174" s="445"/>
      <c r="C174" s="394"/>
      <c r="D174" s="383">
        <v>1200000</v>
      </c>
      <c r="E174" s="384">
        <v>11200000</v>
      </c>
      <c r="F174" s="472"/>
      <c r="G174" s="384"/>
      <c r="H174" s="472">
        <f>E174/12*6</f>
        <v>5600000</v>
      </c>
      <c r="I174" s="44">
        <f t="shared" si="30"/>
        <v>-5600000</v>
      </c>
      <c r="J174" s="330">
        <f t="shared" si="31"/>
        <v>-1</v>
      </c>
      <c r="K174" s="395">
        <f t="shared" ref="K174:K175" si="32">E174</f>
        <v>11200000</v>
      </c>
      <c r="L174" s="48"/>
      <c r="M174" s="473"/>
      <c r="N174" s="473"/>
      <c r="O174" s="473"/>
      <c r="P174" s="473"/>
      <c r="Q174" s="473"/>
      <c r="R174" s="473"/>
      <c r="S174" s="473"/>
      <c r="T174" s="473"/>
      <c r="U174" s="473"/>
      <c r="V174" s="473"/>
      <c r="W174" s="473"/>
    </row>
    <row r="175" spans="1:23" ht="11.25" customHeight="1" x14ac:dyDescent="0.25">
      <c r="A175" s="407" t="str">
        <f>'Org structure'!E28</f>
        <v>3.4 - Waste Management</v>
      </c>
      <c r="B175" s="445"/>
      <c r="C175" s="394"/>
      <c r="D175" s="383">
        <v>2500000</v>
      </c>
      <c r="E175" s="384">
        <v>12500000</v>
      </c>
      <c r="F175" s="472"/>
      <c r="G175" s="384"/>
      <c r="H175" s="472">
        <f>E175/12*6</f>
        <v>6250000</v>
      </c>
      <c r="I175" s="44">
        <f t="shared" si="30"/>
        <v>-6250000</v>
      </c>
      <c r="J175" s="330">
        <f t="shared" si="31"/>
        <v>-1</v>
      </c>
      <c r="K175" s="395">
        <f t="shared" si="32"/>
        <v>12500000</v>
      </c>
      <c r="L175" s="48"/>
      <c r="M175" s="473"/>
      <c r="N175" s="473"/>
      <c r="O175" s="473"/>
      <c r="P175" s="473"/>
      <c r="Q175" s="473"/>
      <c r="R175" s="473"/>
      <c r="S175" s="473"/>
      <c r="T175" s="473"/>
      <c r="U175" s="473"/>
      <c r="V175" s="473"/>
      <c r="W175" s="473"/>
    </row>
    <row r="176" spans="1:23" ht="11.25" hidden="1" customHeight="1" x14ac:dyDescent="0.25">
      <c r="A176" s="407">
        <f>'Org structure'!E29</f>
        <v>0</v>
      </c>
      <c r="B176" s="445"/>
      <c r="C176" s="394"/>
      <c r="D176" s="383"/>
      <c r="E176" s="384"/>
      <c r="F176" s="472"/>
      <c r="G176" s="384"/>
      <c r="H176" s="472"/>
      <c r="I176" s="44">
        <f t="shared" si="30"/>
        <v>0</v>
      </c>
      <c r="J176" s="330" t="str">
        <f t="shared" si="31"/>
        <v/>
      </c>
      <c r="K176" s="395"/>
      <c r="L176" s="48"/>
      <c r="M176" s="473"/>
      <c r="N176" s="473"/>
      <c r="O176" s="473"/>
      <c r="P176" s="473"/>
      <c r="Q176" s="473"/>
      <c r="R176" s="473"/>
      <c r="S176" s="473"/>
      <c r="T176" s="473"/>
      <c r="U176" s="473"/>
      <c r="V176" s="473"/>
      <c r="W176" s="473"/>
    </row>
    <row r="177" spans="1:23" ht="11.25" hidden="1" customHeight="1" x14ac:dyDescent="0.25">
      <c r="A177" s="407">
        <f>'Org structure'!E30</f>
        <v>0</v>
      </c>
      <c r="B177" s="445"/>
      <c r="C177" s="394"/>
      <c r="D177" s="383"/>
      <c r="E177" s="384"/>
      <c r="F177" s="472"/>
      <c r="G177" s="384"/>
      <c r="H177" s="472"/>
      <c r="I177" s="44">
        <f t="shared" si="30"/>
        <v>0</v>
      </c>
      <c r="J177" s="330" t="str">
        <f t="shared" si="31"/>
        <v/>
      </c>
      <c r="K177" s="395"/>
      <c r="L177" s="48"/>
      <c r="M177" s="473"/>
      <c r="N177" s="473"/>
      <c r="O177" s="473"/>
      <c r="P177" s="473"/>
      <c r="Q177" s="473"/>
      <c r="R177" s="473"/>
      <c r="S177" s="473"/>
      <c r="T177" s="473"/>
      <c r="U177" s="473"/>
      <c r="V177" s="473"/>
      <c r="W177" s="473"/>
    </row>
    <row r="178" spans="1:23" ht="11.25" hidden="1" customHeight="1" x14ac:dyDescent="0.25">
      <c r="A178" s="407">
        <f>'Org structure'!E31</f>
        <v>0</v>
      </c>
      <c r="B178" s="445"/>
      <c r="C178" s="394"/>
      <c r="D178" s="383"/>
      <c r="E178" s="384"/>
      <c r="F178" s="472"/>
      <c r="G178" s="384"/>
      <c r="H178" s="472"/>
      <c r="I178" s="44">
        <f t="shared" si="30"/>
        <v>0</v>
      </c>
      <c r="J178" s="330" t="str">
        <f t="shared" si="31"/>
        <v/>
      </c>
      <c r="K178" s="395"/>
      <c r="L178" s="48"/>
      <c r="M178" s="473"/>
      <c r="N178" s="473"/>
      <c r="O178" s="473"/>
      <c r="P178" s="473"/>
      <c r="Q178" s="473"/>
      <c r="R178" s="473"/>
      <c r="S178" s="473"/>
      <c r="T178" s="473"/>
      <c r="U178" s="473"/>
      <c r="V178" s="473"/>
      <c r="W178" s="473"/>
    </row>
    <row r="179" spans="1:23" ht="11.25" hidden="1" customHeight="1" x14ac:dyDescent="0.25">
      <c r="A179" s="407">
        <f>'Org structure'!E32</f>
        <v>0</v>
      </c>
      <c r="B179" s="445"/>
      <c r="C179" s="394"/>
      <c r="D179" s="383"/>
      <c r="E179" s="384"/>
      <c r="F179" s="472"/>
      <c r="G179" s="384"/>
      <c r="H179" s="472"/>
      <c r="I179" s="44">
        <f t="shared" si="30"/>
        <v>0</v>
      </c>
      <c r="J179" s="330" t="str">
        <f t="shared" si="31"/>
        <v/>
      </c>
      <c r="K179" s="395"/>
      <c r="L179" s="48"/>
      <c r="M179" s="473"/>
      <c r="N179" s="473"/>
      <c r="O179" s="473"/>
      <c r="P179" s="473"/>
      <c r="Q179" s="473"/>
      <c r="R179" s="473"/>
      <c r="S179" s="473"/>
      <c r="T179" s="473"/>
      <c r="U179" s="473"/>
      <c r="V179" s="473"/>
      <c r="W179" s="473"/>
    </row>
    <row r="180" spans="1:23" ht="11.25" hidden="1" customHeight="1" x14ac:dyDescent="0.25">
      <c r="A180" s="407">
        <f>'Org structure'!E33</f>
        <v>0</v>
      </c>
      <c r="B180" s="445"/>
      <c r="C180" s="394"/>
      <c r="D180" s="383"/>
      <c r="E180" s="384"/>
      <c r="F180" s="472"/>
      <c r="G180" s="384"/>
      <c r="H180" s="472"/>
      <c r="I180" s="44">
        <f t="shared" si="30"/>
        <v>0</v>
      </c>
      <c r="J180" s="330" t="str">
        <f t="shared" si="31"/>
        <v/>
      </c>
      <c r="K180" s="395"/>
      <c r="L180" s="48"/>
      <c r="M180" s="473"/>
      <c r="N180" s="473"/>
      <c r="O180" s="473"/>
      <c r="P180" s="473"/>
      <c r="Q180" s="473"/>
      <c r="R180" s="473"/>
      <c r="S180" s="473"/>
      <c r="T180" s="473"/>
      <c r="U180" s="473"/>
      <c r="V180" s="473"/>
      <c r="W180" s="473"/>
    </row>
    <row r="181" spans="1:23" ht="11.25" hidden="1" customHeight="1" x14ac:dyDescent="0.25">
      <c r="A181" s="407">
        <f>'Org structure'!E34</f>
        <v>0</v>
      </c>
      <c r="B181" s="445"/>
      <c r="C181" s="394"/>
      <c r="D181" s="383"/>
      <c r="E181" s="384"/>
      <c r="F181" s="472"/>
      <c r="G181" s="384"/>
      <c r="H181" s="472"/>
      <c r="I181" s="44">
        <f t="shared" si="30"/>
        <v>0</v>
      </c>
      <c r="J181" s="330" t="str">
        <f t="shared" si="31"/>
        <v/>
      </c>
      <c r="K181" s="395"/>
      <c r="L181" s="48"/>
      <c r="M181" s="473"/>
      <c r="N181" s="473"/>
      <c r="O181" s="473"/>
      <c r="P181" s="473"/>
      <c r="Q181" s="473"/>
      <c r="R181" s="473"/>
      <c r="S181" s="473"/>
      <c r="T181" s="473"/>
      <c r="U181" s="473"/>
      <c r="V181" s="473"/>
      <c r="W181" s="473"/>
    </row>
    <row r="182" spans="1:23" ht="11.25" customHeight="1" x14ac:dyDescent="0.25">
      <c r="A182" s="466" t="str">
        <f>'Org structure'!A5</f>
        <v>Vote 4 - Corporate Services</v>
      </c>
      <c r="B182" s="440"/>
      <c r="C182" s="503">
        <f t="shared" ref="C182:K182" si="33">SUM(C183:C192)</f>
        <v>0</v>
      </c>
      <c r="D182" s="444">
        <f t="shared" si="33"/>
        <v>0</v>
      </c>
      <c r="E182" s="441">
        <f t="shared" si="33"/>
        <v>0</v>
      </c>
      <c r="F182" s="443">
        <f t="shared" si="33"/>
        <v>191850</v>
      </c>
      <c r="G182" s="441">
        <f t="shared" si="33"/>
        <v>9682955.1699999999</v>
      </c>
      <c r="H182" s="443">
        <f t="shared" si="33"/>
        <v>0</v>
      </c>
      <c r="I182" s="44">
        <f t="shared" si="30"/>
        <v>9682955.1699999999</v>
      </c>
      <c r="J182" s="330" t="e">
        <f t="shared" si="31"/>
        <v>#DIV/0!</v>
      </c>
      <c r="K182" s="442">
        <f t="shared" si="33"/>
        <v>0</v>
      </c>
      <c r="L182" s="48"/>
      <c r="M182" s="473"/>
      <c r="N182" s="473"/>
      <c r="O182" s="473"/>
      <c r="P182" s="473"/>
      <c r="Q182" s="473"/>
      <c r="R182" s="473"/>
      <c r="S182" s="473"/>
      <c r="T182" s="473"/>
      <c r="U182" s="473"/>
      <c r="V182" s="473"/>
      <c r="W182" s="473"/>
    </row>
    <row r="183" spans="1:23" ht="11.25" customHeight="1" x14ac:dyDescent="0.25">
      <c r="A183" s="407" t="str">
        <f>'Org structure'!E36</f>
        <v>4.1 - Human Resources Management</v>
      </c>
      <c r="B183" s="445"/>
      <c r="C183" s="394"/>
      <c r="D183" s="383"/>
      <c r="E183" s="384"/>
      <c r="F183" s="472">
        <v>21850</v>
      </c>
      <c r="G183" s="384">
        <v>6146415.3600000003</v>
      </c>
      <c r="H183" s="472"/>
      <c r="I183" s="44">
        <f t="shared" si="30"/>
        <v>6146415.3600000003</v>
      </c>
      <c r="J183" s="330" t="e">
        <f t="shared" si="31"/>
        <v>#DIV/0!</v>
      </c>
      <c r="K183" s="395"/>
      <c r="L183" s="48"/>
      <c r="M183" s="473"/>
      <c r="N183" s="473"/>
      <c r="O183" s="473"/>
      <c r="P183" s="473"/>
      <c r="Q183" s="473"/>
      <c r="R183" s="473"/>
      <c r="S183" s="473"/>
      <c r="T183" s="473"/>
      <c r="U183" s="473"/>
      <c r="V183" s="473"/>
      <c r="W183" s="473"/>
    </row>
    <row r="184" spans="1:23" ht="11.25" customHeight="1" x14ac:dyDescent="0.25">
      <c r="A184" s="407" t="str">
        <f>'Org structure'!E37</f>
        <v>4.2 - Information Technology</v>
      </c>
      <c r="B184" s="445"/>
      <c r="C184" s="394"/>
      <c r="D184" s="383"/>
      <c r="E184" s="384"/>
      <c r="F184" s="472">
        <v>170000</v>
      </c>
      <c r="G184" s="384">
        <v>3536539.8099999996</v>
      </c>
      <c r="H184" s="472"/>
      <c r="I184" s="44">
        <f t="shared" si="30"/>
        <v>3536539.8099999996</v>
      </c>
      <c r="J184" s="330" t="e">
        <f t="shared" si="31"/>
        <v>#DIV/0!</v>
      </c>
      <c r="K184" s="395"/>
      <c r="L184" s="48"/>
      <c r="M184" s="473"/>
      <c r="N184" s="473"/>
      <c r="O184" s="473"/>
      <c r="P184" s="473"/>
      <c r="Q184" s="473"/>
      <c r="R184" s="473"/>
      <c r="S184" s="473"/>
      <c r="T184" s="473"/>
      <c r="U184" s="473"/>
      <c r="V184" s="473"/>
      <c r="W184" s="473"/>
    </row>
    <row r="185" spans="1:23" ht="11.25" customHeight="1" x14ac:dyDescent="0.25">
      <c r="A185" s="407" t="str">
        <f>'Org structure'!E38</f>
        <v>4.3 - Legal Services</v>
      </c>
      <c r="B185" s="445"/>
      <c r="C185" s="394"/>
      <c r="D185" s="383"/>
      <c r="E185" s="384"/>
      <c r="F185" s="472"/>
      <c r="G185" s="384"/>
      <c r="H185" s="472"/>
      <c r="I185" s="44">
        <f t="shared" si="30"/>
        <v>0</v>
      </c>
      <c r="J185" s="330" t="str">
        <f t="shared" si="31"/>
        <v/>
      </c>
      <c r="K185" s="395"/>
      <c r="L185" s="48"/>
      <c r="M185" s="473"/>
      <c r="N185" s="473"/>
      <c r="O185" s="473"/>
      <c r="P185" s="473"/>
      <c r="Q185" s="473"/>
      <c r="R185" s="473"/>
      <c r="S185" s="473"/>
      <c r="T185" s="473"/>
      <c r="U185" s="473"/>
      <c r="V185" s="473"/>
      <c r="W185" s="473"/>
    </row>
    <row r="186" spans="1:23" ht="11.25" customHeight="1" x14ac:dyDescent="0.25">
      <c r="A186" s="407" t="str">
        <f>'Org structure'!E39</f>
        <v>4.4 - Secretariat and Auxiliary Services</v>
      </c>
      <c r="B186" s="445"/>
      <c r="C186" s="394"/>
      <c r="D186" s="383"/>
      <c r="E186" s="384"/>
      <c r="F186" s="472"/>
      <c r="G186" s="384"/>
      <c r="H186" s="472"/>
      <c r="I186" s="44">
        <f t="shared" si="30"/>
        <v>0</v>
      </c>
      <c r="J186" s="330" t="str">
        <f t="shared" si="31"/>
        <v/>
      </c>
      <c r="K186" s="395"/>
      <c r="L186" s="48"/>
      <c r="M186" s="473"/>
      <c r="N186" s="473"/>
      <c r="O186" s="473"/>
      <c r="P186" s="473"/>
      <c r="Q186" s="473"/>
      <c r="R186" s="473"/>
      <c r="S186" s="473"/>
      <c r="T186" s="473"/>
      <c r="U186" s="473"/>
      <c r="V186" s="473"/>
      <c r="W186" s="473"/>
    </row>
    <row r="187" spans="1:23" ht="11.25" customHeight="1" x14ac:dyDescent="0.25">
      <c r="A187" s="407" t="str">
        <f>'Org structure'!E40</f>
        <v>4.5 - General Manager: Corporate Service</v>
      </c>
      <c r="B187" s="445"/>
      <c r="C187" s="394"/>
      <c r="D187" s="383"/>
      <c r="E187" s="384"/>
      <c r="F187" s="472"/>
      <c r="G187" s="384"/>
      <c r="H187" s="472"/>
      <c r="I187" s="44">
        <f t="shared" si="30"/>
        <v>0</v>
      </c>
      <c r="J187" s="330" t="str">
        <f t="shared" si="31"/>
        <v/>
      </c>
      <c r="K187" s="395"/>
      <c r="L187" s="48"/>
      <c r="M187" s="473"/>
      <c r="N187" s="473"/>
      <c r="O187" s="473"/>
      <c r="P187" s="473"/>
      <c r="Q187" s="473"/>
      <c r="R187" s="473"/>
      <c r="S187" s="473"/>
      <c r="T187" s="473"/>
      <c r="U187" s="473"/>
      <c r="V187" s="473"/>
      <c r="W187" s="473"/>
    </row>
    <row r="188" spans="1:23" ht="11.25" hidden="1" customHeight="1" x14ac:dyDescent="0.25">
      <c r="A188" s="407">
        <f>'Org structure'!E41</f>
        <v>0</v>
      </c>
      <c r="B188" s="445"/>
      <c r="C188" s="394"/>
      <c r="D188" s="383"/>
      <c r="E188" s="384"/>
      <c r="F188" s="472"/>
      <c r="G188" s="384"/>
      <c r="H188" s="472"/>
      <c r="I188" s="44">
        <f t="shared" si="30"/>
        <v>0</v>
      </c>
      <c r="J188" s="330" t="str">
        <f t="shared" si="31"/>
        <v/>
      </c>
      <c r="K188" s="395"/>
      <c r="L188" s="48"/>
      <c r="M188" s="473"/>
      <c r="N188" s="473"/>
      <c r="O188" s="473"/>
      <c r="P188" s="473"/>
      <c r="Q188" s="473"/>
      <c r="R188" s="473"/>
      <c r="S188" s="473"/>
      <c r="T188" s="473"/>
      <c r="U188" s="473"/>
      <c r="V188" s="473"/>
      <c r="W188" s="473"/>
    </row>
    <row r="189" spans="1:23" ht="11.25" hidden="1" customHeight="1" x14ac:dyDescent="0.25">
      <c r="A189" s="407">
        <f>'Org structure'!E42</f>
        <v>0</v>
      </c>
      <c r="B189" s="445"/>
      <c r="C189" s="394"/>
      <c r="D189" s="383"/>
      <c r="E189" s="384"/>
      <c r="F189" s="472"/>
      <c r="G189" s="384"/>
      <c r="H189" s="472"/>
      <c r="I189" s="44">
        <f t="shared" si="30"/>
        <v>0</v>
      </c>
      <c r="J189" s="330" t="str">
        <f t="shared" si="31"/>
        <v/>
      </c>
      <c r="K189" s="395"/>
      <c r="L189" s="48"/>
      <c r="M189" s="473"/>
      <c r="N189" s="473"/>
      <c r="O189" s="473"/>
      <c r="P189" s="473"/>
      <c r="Q189" s="473"/>
      <c r="R189" s="473"/>
      <c r="S189" s="473"/>
      <c r="T189" s="473"/>
      <c r="U189" s="473"/>
      <c r="V189" s="473"/>
      <c r="W189" s="473"/>
    </row>
    <row r="190" spans="1:23" ht="11.25" hidden="1" customHeight="1" x14ac:dyDescent="0.25">
      <c r="A190" s="407">
        <f>'Org structure'!E43</f>
        <v>0</v>
      </c>
      <c r="B190" s="445"/>
      <c r="C190" s="394"/>
      <c r="D190" s="383"/>
      <c r="E190" s="384"/>
      <c r="F190" s="472"/>
      <c r="G190" s="384"/>
      <c r="H190" s="472"/>
      <c r="I190" s="44">
        <f t="shared" si="30"/>
        <v>0</v>
      </c>
      <c r="J190" s="330" t="str">
        <f t="shared" si="31"/>
        <v/>
      </c>
      <c r="K190" s="395"/>
      <c r="L190" s="48"/>
      <c r="M190" s="473"/>
      <c r="N190" s="473"/>
      <c r="O190" s="473"/>
      <c r="P190" s="473"/>
      <c r="Q190" s="473"/>
      <c r="R190" s="473"/>
      <c r="S190" s="473"/>
      <c r="T190" s="473"/>
      <c r="U190" s="473"/>
      <c r="V190" s="473"/>
      <c r="W190" s="473"/>
    </row>
    <row r="191" spans="1:23" ht="11.25" hidden="1" customHeight="1" x14ac:dyDescent="0.25">
      <c r="A191" s="407">
        <f>'Org structure'!E44</f>
        <v>0</v>
      </c>
      <c r="B191" s="445"/>
      <c r="C191" s="394"/>
      <c r="D191" s="383"/>
      <c r="E191" s="384"/>
      <c r="F191" s="472"/>
      <c r="G191" s="384"/>
      <c r="H191" s="472"/>
      <c r="I191" s="44">
        <f t="shared" si="30"/>
        <v>0</v>
      </c>
      <c r="J191" s="330" t="str">
        <f t="shared" si="31"/>
        <v/>
      </c>
      <c r="K191" s="395"/>
      <c r="L191" s="48"/>
      <c r="M191" s="473"/>
      <c r="N191" s="473"/>
      <c r="O191" s="473"/>
      <c r="P191" s="473"/>
      <c r="Q191" s="473"/>
      <c r="R191" s="473"/>
      <c r="S191" s="473"/>
      <c r="T191" s="473"/>
      <c r="U191" s="473"/>
      <c r="V191" s="473"/>
      <c r="W191" s="473"/>
    </row>
    <row r="192" spans="1:23" ht="11.25" hidden="1" customHeight="1" x14ac:dyDescent="0.25">
      <c r="A192" s="407">
        <f>'Org structure'!E45</f>
        <v>0</v>
      </c>
      <c r="B192" s="445"/>
      <c r="C192" s="394"/>
      <c r="D192" s="383"/>
      <c r="E192" s="384"/>
      <c r="F192" s="472"/>
      <c r="G192" s="384"/>
      <c r="H192" s="472"/>
      <c r="I192" s="44">
        <f t="shared" si="30"/>
        <v>0</v>
      </c>
      <c r="J192" s="330" t="str">
        <f t="shared" si="31"/>
        <v/>
      </c>
      <c r="K192" s="395"/>
      <c r="L192" s="48"/>
      <c r="M192" s="473"/>
      <c r="N192" s="473"/>
      <c r="O192" s="473"/>
      <c r="P192" s="473"/>
      <c r="Q192" s="473"/>
      <c r="R192" s="473"/>
      <c r="S192" s="473"/>
      <c r="T192" s="473"/>
      <c r="U192" s="473"/>
      <c r="V192" s="473"/>
      <c r="W192" s="473"/>
    </row>
    <row r="193" spans="1:23" ht="11.25" customHeight="1" x14ac:dyDescent="0.25">
      <c r="A193" s="466" t="str">
        <f>'Org structure'!A6</f>
        <v>Vote 5 - Infrastructure Services</v>
      </c>
      <c r="B193" s="440"/>
      <c r="C193" s="503">
        <f t="shared" ref="C193:K193" si="34">SUM(C194:C203)</f>
        <v>0</v>
      </c>
      <c r="D193" s="444">
        <f t="shared" si="34"/>
        <v>33000000</v>
      </c>
      <c r="E193" s="441">
        <f t="shared" si="34"/>
        <v>53300000</v>
      </c>
      <c r="F193" s="443">
        <f t="shared" si="34"/>
        <v>626620</v>
      </c>
      <c r="G193" s="441">
        <f t="shared" si="34"/>
        <v>1148219.0599999821</v>
      </c>
      <c r="H193" s="443">
        <f t="shared" si="34"/>
        <v>26650000</v>
      </c>
      <c r="I193" s="44">
        <f t="shared" si="30"/>
        <v>-25501780.940000016</v>
      </c>
      <c r="J193" s="330">
        <f t="shared" si="31"/>
        <v>-0.95691485703564794</v>
      </c>
      <c r="K193" s="442">
        <f t="shared" si="34"/>
        <v>53300000</v>
      </c>
      <c r="L193" s="48"/>
      <c r="M193" s="473"/>
      <c r="N193" s="473"/>
      <c r="O193" s="473"/>
      <c r="P193" s="473"/>
      <c r="Q193" s="473"/>
      <c r="R193" s="473"/>
      <c r="S193" s="473"/>
      <c r="T193" s="473"/>
      <c r="U193" s="473"/>
      <c r="V193" s="473"/>
      <c r="W193" s="473"/>
    </row>
    <row r="194" spans="1:23" ht="11.25" customHeight="1" x14ac:dyDescent="0.25">
      <c r="A194" s="407" t="str">
        <f>'Org structure'!E47</f>
        <v>5.1 - Electricity</v>
      </c>
      <c r="B194" s="445"/>
      <c r="C194" s="394"/>
      <c r="D194" s="383">
        <v>9500000</v>
      </c>
      <c r="E194" s="384">
        <v>19800000</v>
      </c>
      <c r="F194" s="472">
        <v>626620</v>
      </c>
      <c r="G194" s="384">
        <v>1148219.1099999822</v>
      </c>
      <c r="H194" s="472">
        <f>E194/12*6</f>
        <v>9900000</v>
      </c>
      <c r="I194" s="44">
        <f t="shared" si="30"/>
        <v>-8751780.8900000174</v>
      </c>
      <c r="J194" s="330">
        <f t="shared" si="31"/>
        <v>-0.88401827171717351</v>
      </c>
      <c r="K194" s="395">
        <f>E194</f>
        <v>19800000</v>
      </c>
      <c r="L194" s="48"/>
      <c r="M194" s="473"/>
      <c r="N194" s="473"/>
      <c r="O194" s="473"/>
      <c r="P194" s="473"/>
      <c r="Q194" s="473"/>
      <c r="R194" s="473"/>
      <c r="S194" s="473"/>
      <c r="T194" s="473"/>
      <c r="U194" s="473"/>
      <c r="V194" s="473"/>
      <c r="W194" s="473"/>
    </row>
    <row r="195" spans="1:23" ht="11.25" customHeight="1" x14ac:dyDescent="0.25">
      <c r="A195" s="407" t="str">
        <f>'Org structure'!E48</f>
        <v>5.2 - Project Management Office</v>
      </c>
      <c r="B195" s="445"/>
      <c r="C195" s="394"/>
      <c r="D195" s="383"/>
      <c r="E195" s="384"/>
      <c r="F195" s="472"/>
      <c r="G195" s="384"/>
      <c r="H195" s="472"/>
      <c r="I195" s="44">
        <f t="shared" si="30"/>
        <v>0</v>
      </c>
      <c r="J195" s="330" t="str">
        <f t="shared" si="31"/>
        <v/>
      </c>
      <c r="K195" s="395"/>
      <c r="L195" s="48"/>
      <c r="M195" s="473"/>
      <c r="N195" s="473"/>
      <c r="O195" s="473"/>
      <c r="P195" s="473"/>
      <c r="Q195" s="473"/>
      <c r="R195" s="473"/>
      <c r="S195" s="473"/>
      <c r="T195" s="473"/>
      <c r="U195" s="473"/>
      <c r="V195" s="473"/>
      <c r="W195" s="473"/>
    </row>
    <row r="196" spans="1:23" ht="11.25" customHeight="1" x14ac:dyDescent="0.25">
      <c r="A196" s="407" t="str">
        <f>'Org structure'!E49</f>
        <v>5.3 - Roads and Transportation</v>
      </c>
      <c r="B196" s="445"/>
      <c r="C196" s="394"/>
      <c r="D196" s="383"/>
      <c r="E196" s="384">
        <v>10000000</v>
      </c>
      <c r="F196" s="472"/>
      <c r="G196" s="384">
        <v>-0.05</v>
      </c>
      <c r="H196" s="472">
        <f>E196/12*6</f>
        <v>5000000</v>
      </c>
      <c r="I196" s="44">
        <f t="shared" si="30"/>
        <v>-5000000.05</v>
      </c>
      <c r="J196" s="330">
        <f t="shared" si="31"/>
        <v>-1.0000000099999999</v>
      </c>
      <c r="K196" s="395">
        <f>E196</f>
        <v>10000000</v>
      </c>
      <c r="L196" s="48"/>
      <c r="M196" s="473"/>
      <c r="N196" s="473"/>
      <c r="O196" s="473"/>
      <c r="P196" s="473"/>
      <c r="Q196" s="473"/>
      <c r="R196" s="473"/>
      <c r="S196" s="473"/>
      <c r="T196" s="473"/>
      <c r="U196" s="473"/>
      <c r="V196" s="473"/>
      <c r="W196" s="473"/>
    </row>
    <row r="197" spans="1:23" ht="11.25" customHeight="1" x14ac:dyDescent="0.25">
      <c r="A197" s="407" t="str">
        <f>'Org structure'!E50</f>
        <v>5.4 - Water and Sanitation</v>
      </c>
      <c r="B197" s="445"/>
      <c r="C197" s="394"/>
      <c r="D197" s="383">
        <v>23500000</v>
      </c>
      <c r="E197" s="384">
        <v>23500000</v>
      </c>
      <c r="F197" s="472"/>
      <c r="G197" s="384"/>
      <c r="H197" s="472">
        <f>E197/12*6</f>
        <v>11750000</v>
      </c>
      <c r="I197" s="44">
        <f t="shared" si="30"/>
        <v>-11750000</v>
      </c>
      <c r="J197" s="330">
        <f t="shared" si="31"/>
        <v>-1</v>
      </c>
      <c r="K197" s="395">
        <f>E197</f>
        <v>23500000</v>
      </c>
      <c r="L197" s="48"/>
      <c r="M197" s="473"/>
      <c r="N197" s="473"/>
      <c r="O197" s="473"/>
      <c r="P197" s="473"/>
      <c r="Q197" s="473"/>
      <c r="R197" s="473"/>
      <c r="S197" s="473"/>
      <c r="T197" s="473"/>
      <c r="U197" s="473"/>
      <c r="V197" s="473"/>
      <c r="W197" s="473"/>
    </row>
    <row r="198" spans="1:23" ht="11.25" customHeight="1" x14ac:dyDescent="0.25">
      <c r="A198" s="407" t="str">
        <f>'Org structure'!E51</f>
        <v xml:space="preserve">5.5 - General Manager: Infrastructure </v>
      </c>
      <c r="B198" s="445"/>
      <c r="C198" s="394"/>
      <c r="D198" s="383"/>
      <c r="E198" s="384"/>
      <c r="F198" s="472"/>
      <c r="G198" s="384"/>
      <c r="H198" s="472"/>
      <c r="I198" s="44">
        <f t="shared" si="30"/>
        <v>0</v>
      </c>
      <c r="J198" s="330" t="str">
        <f t="shared" si="31"/>
        <v/>
      </c>
      <c r="K198" s="395"/>
      <c r="L198" s="48"/>
      <c r="M198" s="473"/>
      <c r="N198" s="473"/>
      <c r="O198" s="473"/>
      <c r="P198" s="473"/>
      <c r="Q198" s="473"/>
      <c r="R198" s="473"/>
      <c r="S198" s="473"/>
      <c r="T198" s="473"/>
      <c r="U198" s="473"/>
      <c r="V198" s="473"/>
      <c r="W198" s="473"/>
    </row>
    <row r="199" spans="1:23" ht="11.25" hidden="1" customHeight="1" x14ac:dyDescent="0.25">
      <c r="A199" s="407">
        <f>'Org structure'!E52</f>
        <v>0</v>
      </c>
      <c r="B199" s="445"/>
      <c r="C199" s="394"/>
      <c r="D199" s="383"/>
      <c r="E199" s="384"/>
      <c r="F199" s="472"/>
      <c r="G199" s="384"/>
      <c r="H199" s="472"/>
      <c r="I199" s="44">
        <f t="shared" si="30"/>
        <v>0</v>
      </c>
      <c r="J199" s="330" t="str">
        <f t="shared" si="31"/>
        <v/>
      </c>
      <c r="K199" s="395"/>
      <c r="L199" s="48"/>
      <c r="M199" s="473"/>
      <c r="N199" s="473"/>
      <c r="O199" s="473"/>
      <c r="P199" s="473"/>
      <c r="Q199" s="473"/>
      <c r="R199" s="473"/>
      <c r="S199" s="473"/>
      <c r="T199" s="473"/>
      <c r="U199" s="473"/>
      <c r="V199" s="473"/>
      <c r="W199" s="473"/>
    </row>
    <row r="200" spans="1:23" ht="11.25" hidden="1" customHeight="1" x14ac:dyDescent="0.25">
      <c r="A200" s="407">
        <f>'Org structure'!E53</f>
        <v>0</v>
      </c>
      <c r="B200" s="445"/>
      <c r="C200" s="394"/>
      <c r="D200" s="383"/>
      <c r="E200" s="384"/>
      <c r="F200" s="472"/>
      <c r="G200" s="384"/>
      <c r="H200" s="472"/>
      <c r="I200" s="44">
        <f t="shared" si="30"/>
        <v>0</v>
      </c>
      <c r="J200" s="330" t="str">
        <f t="shared" si="31"/>
        <v/>
      </c>
      <c r="K200" s="395"/>
      <c r="L200" s="48"/>
      <c r="M200" s="473"/>
      <c r="N200" s="473"/>
      <c r="O200" s="473"/>
      <c r="P200" s="473"/>
      <c r="Q200" s="473"/>
      <c r="R200" s="473"/>
      <c r="S200" s="473"/>
      <c r="T200" s="473"/>
      <c r="U200" s="473"/>
      <c r="V200" s="473"/>
      <c r="W200" s="473"/>
    </row>
    <row r="201" spans="1:23" ht="11.25" hidden="1" customHeight="1" x14ac:dyDescent="0.25">
      <c r="A201" s="407">
        <f>'Org structure'!E54</f>
        <v>0</v>
      </c>
      <c r="B201" s="445"/>
      <c r="C201" s="394"/>
      <c r="D201" s="383"/>
      <c r="E201" s="384"/>
      <c r="F201" s="472"/>
      <c r="G201" s="384"/>
      <c r="H201" s="472"/>
      <c r="I201" s="44">
        <f t="shared" si="30"/>
        <v>0</v>
      </c>
      <c r="J201" s="330" t="str">
        <f t="shared" si="31"/>
        <v/>
      </c>
      <c r="K201" s="395"/>
      <c r="L201" s="48"/>
      <c r="M201" s="473"/>
      <c r="N201" s="473"/>
      <c r="O201" s="473"/>
      <c r="P201" s="473"/>
      <c r="Q201" s="473"/>
      <c r="R201" s="473"/>
      <c r="S201" s="473"/>
      <c r="T201" s="473"/>
      <c r="U201" s="473"/>
      <c r="V201" s="473"/>
      <c r="W201" s="473"/>
    </row>
    <row r="202" spans="1:23" ht="11.25" hidden="1" customHeight="1" x14ac:dyDescent="0.25">
      <c r="A202" s="407">
        <f>'Org structure'!E55</f>
        <v>0</v>
      </c>
      <c r="B202" s="445"/>
      <c r="C202" s="394"/>
      <c r="D202" s="383"/>
      <c r="E202" s="384"/>
      <c r="F202" s="472"/>
      <c r="G202" s="384"/>
      <c r="H202" s="472"/>
      <c r="I202" s="44">
        <f t="shared" si="30"/>
        <v>0</v>
      </c>
      <c r="J202" s="330" t="str">
        <f t="shared" si="31"/>
        <v/>
      </c>
      <c r="K202" s="395"/>
      <c r="L202" s="48"/>
      <c r="M202" s="473"/>
      <c r="N202" s="473"/>
      <c r="O202" s="473"/>
      <c r="P202" s="473"/>
      <c r="Q202" s="473"/>
      <c r="R202" s="473"/>
      <c r="S202" s="473"/>
      <c r="T202" s="473"/>
      <c r="U202" s="473"/>
      <c r="V202" s="473"/>
      <c r="W202" s="473"/>
    </row>
    <row r="203" spans="1:23" ht="11.25" hidden="1" customHeight="1" x14ac:dyDescent="0.25">
      <c r="A203" s="407">
        <f>'Org structure'!E56</f>
        <v>0</v>
      </c>
      <c r="B203" s="445"/>
      <c r="C203" s="394"/>
      <c r="D203" s="383"/>
      <c r="E203" s="384"/>
      <c r="F203" s="472"/>
      <c r="G203" s="384"/>
      <c r="H203" s="472"/>
      <c r="I203" s="44">
        <f t="shared" si="30"/>
        <v>0</v>
      </c>
      <c r="J203" s="330" t="str">
        <f t="shared" si="31"/>
        <v/>
      </c>
      <c r="K203" s="395"/>
      <c r="L203" s="48"/>
      <c r="M203" s="473"/>
      <c r="N203" s="473"/>
      <c r="O203" s="473"/>
      <c r="P203" s="473"/>
      <c r="Q203" s="473"/>
      <c r="R203" s="473"/>
      <c r="S203" s="473"/>
      <c r="T203" s="473"/>
      <c r="U203" s="473"/>
      <c r="V203" s="473"/>
      <c r="W203" s="473"/>
    </row>
    <row r="204" spans="1:23" ht="11.25" customHeight="1" x14ac:dyDescent="0.25">
      <c r="A204" s="466" t="str">
        <f>'Org structure'!A7</f>
        <v>Vote 6 - Sustainable Development and City Enterprises</v>
      </c>
      <c r="B204" s="440"/>
      <c r="C204" s="503">
        <f t="shared" ref="C204:K204" si="35">SUM(C205:C214)</f>
        <v>0</v>
      </c>
      <c r="D204" s="444">
        <f t="shared" si="35"/>
        <v>10024000</v>
      </c>
      <c r="E204" s="441">
        <f t="shared" si="35"/>
        <v>10024000</v>
      </c>
      <c r="F204" s="443">
        <f t="shared" si="35"/>
        <v>0</v>
      </c>
      <c r="G204" s="441">
        <f t="shared" si="35"/>
        <v>1050024.72</v>
      </c>
      <c r="H204" s="443">
        <f t="shared" si="35"/>
        <v>5012000</v>
      </c>
      <c r="I204" s="44">
        <f t="shared" si="30"/>
        <v>-3961975.2800000003</v>
      </c>
      <c r="J204" s="330">
        <f t="shared" si="31"/>
        <v>-0.79049786113328013</v>
      </c>
      <c r="K204" s="442">
        <f t="shared" si="35"/>
        <v>10024000</v>
      </c>
      <c r="L204" s="48"/>
      <c r="M204" s="473"/>
      <c r="N204" s="473"/>
      <c r="O204" s="473"/>
      <c r="P204" s="473"/>
      <c r="Q204" s="473"/>
      <c r="R204" s="473"/>
      <c r="S204" s="473"/>
      <c r="T204" s="473"/>
      <c r="U204" s="473"/>
      <c r="V204" s="473"/>
      <c r="W204" s="473"/>
    </row>
    <row r="205" spans="1:23" ht="11.25" customHeight="1" x14ac:dyDescent="0.25">
      <c r="A205" s="407" t="str">
        <f>'Org structure'!E58</f>
        <v>6.1 - City Entities</v>
      </c>
      <c r="B205" s="445"/>
      <c r="C205" s="394"/>
      <c r="D205" s="383">
        <v>774000</v>
      </c>
      <c r="E205" s="384">
        <v>774000</v>
      </c>
      <c r="F205" s="472"/>
      <c r="G205" s="384"/>
      <c r="H205" s="472">
        <f>E205/12*6</f>
        <v>387000</v>
      </c>
      <c r="I205" s="44">
        <f t="shared" si="30"/>
        <v>-387000</v>
      </c>
      <c r="J205" s="330">
        <f t="shared" si="31"/>
        <v>-1</v>
      </c>
      <c r="K205" s="395">
        <f t="shared" ref="K205:K206" si="36">E205</f>
        <v>774000</v>
      </c>
      <c r="L205" s="48"/>
      <c r="M205" s="473"/>
      <c r="N205" s="473"/>
      <c r="O205" s="473"/>
      <c r="P205" s="473"/>
      <c r="Q205" s="473"/>
      <c r="R205" s="473"/>
      <c r="S205" s="473"/>
      <c r="T205" s="473"/>
      <c r="U205" s="473"/>
      <c r="V205" s="473"/>
      <c r="W205" s="473"/>
    </row>
    <row r="206" spans="1:23" ht="11.25" customHeight="1" x14ac:dyDescent="0.25">
      <c r="A206" s="407" t="str">
        <f>'Org structure'!E59</f>
        <v>6.2 - Development Services</v>
      </c>
      <c r="B206" s="445"/>
      <c r="C206" s="394"/>
      <c r="D206" s="383">
        <v>2500000</v>
      </c>
      <c r="E206" s="384">
        <v>2500000</v>
      </c>
      <c r="F206" s="472"/>
      <c r="G206" s="384">
        <v>1050024.72</v>
      </c>
      <c r="H206" s="472">
        <f>E206/12*6</f>
        <v>1250000</v>
      </c>
      <c r="I206" s="44">
        <f t="shared" si="30"/>
        <v>-199975.28000000003</v>
      </c>
      <c r="J206" s="330">
        <f t="shared" si="31"/>
        <v>-0.15998022400000003</v>
      </c>
      <c r="K206" s="395">
        <f t="shared" si="36"/>
        <v>2500000</v>
      </c>
      <c r="L206" s="48"/>
      <c r="M206" s="473"/>
      <c r="N206" s="473"/>
      <c r="O206" s="473"/>
      <c r="P206" s="473"/>
      <c r="Q206" s="473"/>
      <c r="R206" s="473"/>
      <c r="S206" s="473"/>
      <c r="T206" s="473"/>
      <c r="U206" s="473"/>
      <c r="V206" s="473"/>
      <c r="W206" s="473"/>
    </row>
    <row r="207" spans="1:23" ht="11.25" customHeight="1" x14ac:dyDescent="0.25">
      <c r="A207" s="407" t="str">
        <f>'Org structure'!E60</f>
        <v>6.3 - Human Settlement Development</v>
      </c>
      <c r="B207" s="445"/>
      <c r="C207" s="394"/>
      <c r="D207" s="383">
        <v>6750000</v>
      </c>
      <c r="E207" s="384">
        <v>6750000</v>
      </c>
      <c r="F207" s="472"/>
      <c r="G207" s="384"/>
      <c r="H207" s="472">
        <f>E207/12*6</f>
        <v>3375000</v>
      </c>
      <c r="I207" s="44">
        <f t="shared" si="30"/>
        <v>-3375000</v>
      </c>
      <c r="J207" s="330">
        <f t="shared" si="31"/>
        <v>-1</v>
      </c>
      <c r="K207" s="395">
        <f>E207</f>
        <v>6750000</v>
      </c>
      <c r="L207" s="48"/>
      <c r="M207" s="473"/>
      <c r="N207" s="473"/>
      <c r="O207" s="473"/>
      <c r="P207" s="473"/>
      <c r="Q207" s="473"/>
      <c r="R207" s="473"/>
      <c r="S207" s="473"/>
      <c r="T207" s="473"/>
      <c r="U207" s="473"/>
      <c r="V207" s="473"/>
      <c r="W207" s="473"/>
    </row>
    <row r="208" spans="1:23" ht="11.25" customHeight="1" x14ac:dyDescent="0.25">
      <c r="A208" s="407" t="str">
        <f>'Org structure'!E61</f>
        <v>6.4 - Town Planning</v>
      </c>
      <c r="B208" s="445"/>
      <c r="C208" s="394"/>
      <c r="D208" s="383"/>
      <c r="E208" s="384"/>
      <c r="F208" s="472"/>
      <c r="G208" s="384"/>
      <c r="H208" s="472"/>
      <c r="I208" s="44">
        <f t="shared" si="30"/>
        <v>0</v>
      </c>
      <c r="J208" s="330" t="str">
        <f t="shared" si="31"/>
        <v/>
      </c>
      <c r="K208" s="395"/>
      <c r="L208" s="48"/>
      <c r="M208" s="473"/>
      <c r="N208" s="473"/>
      <c r="O208" s="473"/>
      <c r="P208" s="473"/>
      <c r="Q208" s="473"/>
      <c r="R208" s="473"/>
      <c r="S208" s="473"/>
      <c r="T208" s="473"/>
      <c r="U208" s="473"/>
      <c r="V208" s="473"/>
      <c r="W208" s="473"/>
    </row>
    <row r="209" spans="1:23" ht="11.25" customHeight="1" x14ac:dyDescent="0.25">
      <c r="A209" s="407" t="str">
        <f>'Org structure'!E62</f>
        <v>6.5 - General Manager: Sustainable Development and City Enterprises</v>
      </c>
      <c r="B209" s="445"/>
      <c r="C209" s="394"/>
      <c r="D209" s="383"/>
      <c r="E209" s="384"/>
      <c r="F209" s="472"/>
      <c r="G209" s="384"/>
      <c r="H209" s="472"/>
      <c r="I209" s="44">
        <f t="shared" si="30"/>
        <v>0</v>
      </c>
      <c r="J209" s="330" t="str">
        <f t="shared" si="31"/>
        <v/>
      </c>
      <c r="K209" s="395"/>
      <c r="L209" s="48"/>
      <c r="M209" s="473"/>
      <c r="N209" s="473"/>
      <c r="O209" s="473"/>
      <c r="P209" s="473"/>
      <c r="Q209" s="473"/>
      <c r="R209" s="473"/>
      <c r="S209" s="473"/>
      <c r="T209" s="473"/>
      <c r="U209" s="473"/>
      <c r="V209" s="473"/>
      <c r="W209" s="473"/>
    </row>
    <row r="210" spans="1:23" ht="11.25" hidden="1" customHeight="1" x14ac:dyDescent="0.25">
      <c r="A210" s="407">
        <f>'Org structure'!E63</f>
        <v>0</v>
      </c>
      <c r="B210" s="445"/>
      <c r="C210" s="394"/>
      <c r="D210" s="383"/>
      <c r="E210" s="384"/>
      <c r="F210" s="472"/>
      <c r="G210" s="384"/>
      <c r="H210" s="472"/>
      <c r="I210" s="44">
        <f t="shared" si="30"/>
        <v>0</v>
      </c>
      <c r="J210" s="330" t="str">
        <f t="shared" si="31"/>
        <v/>
      </c>
      <c r="K210" s="395"/>
      <c r="L210" s="48"/>
      <c r="M210" s="473"/>
      <c r="N210" s="473"/>
      <c r="O210" s="473"/>
      <c r="P210" s="473"/>
      <c r="Q210" s="473"/>
      <c r="R210" s="473"/>
      <c r="S210" s="473"/>
      <c r="T210" s="473"/>
      <c r="U210" s="473"/>
      <c r="V210" s="473"/>
      <c r="W210" s="473"/>
    </row>
    <row r="211" spans="1:23" ht="11.25" hidden="1" customHeight="1" x14ac:dyDescent="0.25">
      <c r="A211" s="407">
        <f>'Org structure'!E64</f>
        <v>0</v>
      </c>
      <c r="B211" s="445"/>
      <c r="C211" s="394"/>
      <c r="D211" s="383"/>
      <c r="E211" s="384"/>
      <c r="F211" s="472"/>
      <c r="G211" s="384"/>
      <c r="H211" s="472"/>
      <c r="I211" s="44">
        <f t="shared" si="30"/>
        <v>0</v>
      </c>
      <c r="J211" s="330" t="str">
        <f t="shared" si="31"/>
        <v/>
      </c>
      <c r="K211" s="395"/>
      <c r="L211" s="48"/>
      <c r="M211" s="473"/>
      <c r="N211" s="473"/>
      <c r="O211" s="473"/>
      <c r="P211" s="473"/>
      <c r="Q211" s="473"/>
      <c r="R211" s="473"/>
      <c r="S211" s="473"/>
      <c r="T211" s="473"/>
      <c r="U211" s="473"/>
      <c r="V211" s="473"/>
      <c r="W211" s="473"/>
    </row>
    <row r="212" spans="1:23" ht="11.25" hidden="1" customHeight="1" x14ac:dyDescent="0.25">
      <c r="A212" s="407">
        <f>'Org structure'!E65</f>
        <v>0</v>
      </c>
      <c r="B212" s="445"/>
      <c r="C212" s="394"/>
      <c r="D212" s="383"/>
      <c r="E212" s="384"/>
      <c r="F212" s="472"/>
      <c r="G212" s="384"/>
      <c r="H212" s="472"/>
      <c r="I212" s="44">
        <f t="shared" si="30"/>
        <v>0</v>
      </c>
      <c r="J212" s="330" t="str">
        <f t="shared" si="31"/>
        <v/>
      </c>
      <c r="K212" s="395"/>
      <c r="L212" s="48"/>
      <c r="M212" s="473"/>
      <c r="N212" s="473"/>
      <c r="O212" s="473"/>
      <c r="P212" s="473"/>
      <c r="Q212" s="473"/>
      <c r="R212" s="473"/>
      <c r="S212" s="473"/>
      <c r="T212" s="473"/>
      <c r="U212" s="473"/>
      <c r="V212" s="473"/>
      <c r="W212" s="473"/>
    </row>
    <row r="213" spans="1:23" ht="11.25" hidden="1" customHeight="1" x14ac:dyDescent="0.25">
      <c r="A213" s="407">
        <f>'Org structure'!E66</f>
        <v>0</v>
      </c>
      <c r="B213" s="445"/>
      <c r="C213" s="394"/>
      <c r="D213" s="383"/>
      <c r="E213" s="384"/>
      <c r="F213" s="472"/>
      <c r="G213" s="384"/>
      <c r="H213" s="472"/>
      <c r="I213" s="44">
        <f t="shared" si="30"/>
        <v>0</v>
      </c>
      <c r="J213" s="330" t="str">
        <f t="shared" si="31"/>
        <v/>
      </c>
      <c r="K213" s="395"/>
      <c r="L213" s="48"/>
      <c r="M213" s="473"/>
      <c r="N213" s="473"/>
      <c r="O213" s="473"/>
      <c r="P213" s="473"/>
      <c r="Q213" s="473"/>
      <c r="R213" s="473"/>
      <c r="S213" s="473"/>
      <c r="T213" s="473"/>
      <c r="U213" s="473"/>
      <c r="V213" s="473"/>
      <c r="W213" s="473"/>
    </row>
    <row r="214" spans="1:23" ht="11.25" hidden="1" customHeight="1" x14ac:dyDescent="0.25">
      <c r="A214" s="407">
        <f>'Org structure'!E67</f>
        <v>0</v>
      </c>
      <c r="B214" s="445"/>
      <c r="C214" s="394"/>
      <c r="D214" s="383"/>
      <c r="E214" s="384"/>
      <c r="F214" s="472"/>
      <c r="G214" s="384"/>
      <c r="H214" s="472"/>
      <c r="I214" s="44">
        <f t="shared" si="30"/>
        <v>0</v>
      </c>
      <c r="J214" s="330" t="str">
        <f t="shared" si="31"/>
        <v/>
      </c>
      <c r="K214" s="395"/>
      <c r="L214" s="48"/>
      <c r="M214" s="473"/>
      <c r="N214" s="473"/>
      <c r="O214" s="473"/>
      <c r="P214" s="473"/>
      <c r="Q214" s="473"/>
      <c r="R214" s="473"/>
      <c r="S214" s="473"/>
      <c r="T214" s="473"/>
      <c r="U214" s="473"/>
      <c r="V214" s="473"/>
      <c r="W214" s="473"/>
    </row>
    <row r="215" spans="1:23" ht="11.25" hidden="1" customHeight="1" x14ac:dyDescent="0.25">
      <c r="A215" s="466" t="str">
        <f>'Org structure'!A8</f>
        <v>Vote 7 - [NAME OF VOTE 7]</v>
      </c>
      <c r="B215" s="440"/>
      <c r="C215" s="503">
        <f t="shared" ref="C215:K215" si="37">SUM(C216:C225)</f>
        <v>0</v>
      </c>
      <c r="D215" s="444">
        <f t="shared" si="37"/>
        <v>0</v>
      </c>
      <c r="E215" s="441">
        <f t="shared" si="37"/>
        <v>0</v>
      </c>
      <c r="F215" s="443">
        <f t="shared" si="37"/>
        <v>0</v>
      </c>
      <c r="G215" s="441">
        <f t="shared" si="37"/>
        <v>0</v>
      </c>
      <c r="H215" s="443">
        <f t="shared" si="37"/>
        <v>0</v>
      </c>
      <c r="I215" s="44">
        <f t="shared" si="30"/>
        <v>0</v>
      </c>
      <c r="J215" s="330" t="str">
        <f t="shared" si="31"/>
        <v/>
      </c>
      <c r="K215" s="442">
        <f t="shared" si="37"/>
        <v>0</v>
      </c>
      <c r="L215" s="48"/>
      <c r="M215" s="473"/>
      <c r="N215" s="473"/>
      <c r="O215" s="473"/>
      <c r="P215" s="473"/>
      <c r="Q215" s="473"/>
      <c r="R215" s="473"/>
      <c r="S215" s="473"/>
      <c r="T215" s="473"/>
      <c r="U215" s="473"/>
      <c r="V215" s="473"/>
      <c r="W215" s="473"/>
    </row>
    <row r="216" spans="1:23" ht="11.25" hidden="1" customHeight="1" x14ac:dyDescent="0.25">
      <c r="A216" s="407" t="str">
        <f>'Org structure'!E69</f>
        <v>7.1 - [Name of sub-vote]</v>
      </c>
      <c r="B216" s="445"/>
      <c r="C216" s="394"/>
      <c r="D216" s="383"/>
      <c r="E216" s="384"/>
      <c r="F216" s="472"/>
      <c r="G216" s="384"/>
      <c r="H216" s="472"/>
      <c r="I216" s="44">
        <f t="shared" si="30"/>
        <v>0</v>
      </c>
      <c r="J216" s="330" t="str">
        <f t="shared" si="31"/>
        <v/>
      </c>
      <c r="K216" s="395"/>
      <c r="L216" s="48"/>
      <c r="M216" s="473"/>
      <c r="N216" s="473"/>
      <c r="O216" s="473"/>
      <c r="P216" s="473"/>
      <c r="Q216" s="473"/>
      <c r="R216" s="473"/>
      <c r="S216" s="473"/>
      <c r="T216" s="473"/>
      <c r="U216" s="473"/>
      <c r="V216" s="473"/>
      <c r="W216" s="473"/>
    </row>
    <row r="217" spans="1:23" ht="11.25" hidden="1" customHeight="1" x14ac:dyDescent="0.25">
      <c r="A217" s="407">
        <f>'Org structure'!E70</f>
        <v>0</v>
      </c>
      <c r="B217" s="445"/>
      <c r="C217" s="394"/>
      <c r="D217" s="383"/>
      <c r="E217" s="384"/>
      <c r="F217" s="472"/>
      <c r="G217" s="384"/>
      <c r="H217" s="472"/>
      <c r="I217" s="44">
        <f t="shared" si="30"/>
        <v>0</v>
      </c>
      <c r="J217" s="330" t="str">
        <f t="shared" si="31"/>
        <v/>
      </c>
      <c r="K217" s="395"/>
      <c r="L217" s="48"/>
      <c r="M217" s="473"/>
      <c r="N217" s="473"/>
      <c r="O217" s="473"/>
      <c r="P217" s="473"/>
      <c r="Q217" s="473"/>
      <c r="R217" s="473"/>
      <c r="S217" s="473"/>
      <c r="T217" s="473"/>
      <c r="U217" s="473"/>
      <c r="V217" s="473"/>
      <c r="W217" s="473"/>
    </row>
    <row r="218" spans="1:23" ht="11.25" hidden="1" customHeight="1" x14ac:dyDescent="0.25">
      <c r="A218" s="407">
        <f>'Org structure'!E71</f>
        <v>0</v>
      </c>
      <c r="B218" s="445"/>
      <c r="C218" s="394"/>
      <c r="D218" s="383"/>
      <c r="E218" s="384"/>
      <c r="F218" s="472"/>
      <c r="G218" s="384"/>
      <c r="H218" s="472"/>
      <c r="I218" s="44">
        <f t="shared" si="30"/>
        <v>0</v>
      </c>
      <c r="J218" s="330" t="str">
        <f t="shared" si="31"/>
        <v/>
      </c>
      <c r="K218" s="395"/>
      <c r="L218" s="48"/>
      <c r="M218" s="473"/>
      <c r="N218" s="473"/>
      <c r="O218" s="473"/>
      <c r="P218" s="473"/>
      <c r="Q218" s="473"/>
      <c r="R218" s="473"/>
      <c r="S218" s="473"/>
      <c r="T218" s="473"/>
      <c r="U218" s="473"/>
      <c r="V218" s="473"/>
      <c r="W218" s="473"/>
    </row>
    <row r="219" spans="1:23" ht="11.25" hidden="1" customHeight="1" x14ac:dyDescent="0.25">
      <c r="A219" s="407">
        <f>'Org structure'!E72</f>
        <v>0</v>
      </c>
      <c r="B219" s="445"/>
      <c r="C219" s="394"/>
      <c r="D219" s="383"/>
      <c r="E219" s="384"/>
      <c r="F219" s="472"/>
      <c r="G219" s="384"/>
      <c r="H219" s="472"/>
      <c r="I219" s="44">
        <f t="shared" si="30"/>
        <v>0</v>
      </c>
      <c r="J219" s="330" t="str">
        <f t="shared" si="31"/>
        <v/>
      </c>
      <c r="K219" s="395"/>
      <c r="L219" s="48"/>
      <c r="M219" s="473"/>
      <c r="N219" s="473"/>
      <c r="O219" s="473"/>
      <c r="P219" s="473"/>
      <c r="Q219" s="473"/>
      <c r="R219" s="473"/>
      <c r="S219" s="473"/>
      <c r="T219" s="473"/>
      <c r="U219" s="473"/>
      <c r="V219" s="473"/>
      <c r="W219" s="473"/>
    </row>
    <row r="220" spans="1:23" ht="11.25" hidden="1" customHeight="1" x14ac:dyDescent="0.25">
      <c r="A220" s="407">
        <f>'Org structure'!E73</f>
        <v>0</v>
      </c>
      <c r="B220" s="445"/>
      <c r="C220" s="394"/>
      <c r="D220" s="383"/>
      <c r="E220" s="384"/>
      <c r="F220" s="472"/>
      <c r="G220" s="384"/>
      <c r="H220" s="472"/>
      <c r="I220" s="44">
        <f t="shared" si="30"/>
        <v>0</v>
      </c>
      <c r="J220" s="330" t="str">
        <f t="shared" si="31"/>
        <v/>
      </c>
      <c r="K220" s="395"/>
      <c r="L220" s="48"/>
      <c r="M220" s="473"/>
      <c r="N220" s="473"/>
      <c r="O220" s="473"/>
      <c r="P220" s="473"/>
      <c r="Q220" s="473"/>
      <c r="R220" s="473"/>
      <c r="S220" s="473"/>
      <c r="T220" s="473"/>
      <c r="U220" s="473"/>
      <c r="V220" s="473"/>
      <c r="W220" s="473"/>
    </row>
    <row r="221" spans="1:23" ht="11.25" hidden="1" customHeight="1" x14ac:dyDescent="0.25">
      <c r="A221" s="407">
        <f>'Org structure'!E74</f>
        <v>0</v>
      </c>
      <c r="B221" s="445"/>
      <c r="C221" s="394"/>
      <c r="D221" s="383"/>
      <c r="E221" s="384"/>
      <c r="F221" s="472"/>
      <c r="G221" s="384"/>
      <c r="H221" s="472"/>
      <c r="I221" s="44">
        <f t="shared" si="30"/>
        <v>0</v>
      </c>
      <c r="J221" s="330" t="str">
        <f t="shared" si="31"/>
        <v/>
      </c>
      <c r="K221" s="395"/>
      <c r="L221" s="48"/>
      <c r="M221" s="473"/>
      <c r="N221" s="473"/>
      <c r="O221" s="473"/>
      <c r="P221" s="473"/>
      <c r="Q221" s="473"/>
      <c r="R221" s="473"/>
      <c r="S221" s="473"/>
      <c r="T221" s="473"/>
      <c r="U221" s="473"/>
      <c r="V221" s="473"/>
      <c r="W221" s="473"/>
    </row>
    <row r="222" spans="1:23" ht="11.25" hidden="1" customHeight="1" x14ac:dyDescent="0.25">
      <c r="A222" s="407">
        <f>'Org structure'!E75</f>
        <v>0</v>
      </c>
      <c r="B222" s="445"/>
      <c r="C222" s="394"/>
      <c r="D222" s="383"/>
      <c r="E222" s="384"/>
      <c r="F222" s="472"/>
      <c r="G222" s="384"/>
      <c r="H222" s="472"/>
      <c r="I222" s="44">
        <f t="shared" si="30"/>
        <v>0</v>
      </c>
      <c r="J222" s="330" t="str">
        <f t="shared" si="31"/>
        <v/>
      </c>
      <c r="K222" s="395"/>
      <c r="L222" s="48"/>
      <c r="M222" s="473"/>
      <c r="N222" s="473"/>
      <c r="O222" s="473"/>
      <c r="P222" s="473"/>
      <c r="Q222" s="473"/>
      <c r="R222" s="473"/>
      <c r="S222" s="473"/>
      <c r="T222" s="473"/>
      <c r="U222" s="473"/>
      <c r="V222" s="473"/>
      <c r="W222" s="473"/>
    </row>
    <row r="223" spans="1:23" ht="11.25" hidden="1" customHeight="1" x14ac:dyDescent="0.25">
      <c r="A223" s="407">
        <f>'Org structure'!E76</f>
        <v>0</v>
      </c>
      <c r="B223" s="445"/>
      <c r="C223" s="394"/>
      <c r="D223" s="383"/>
      <c r="E223" s="384"/>
      <c r="F223" s="472"/>
      <c r="G223" s="384"/>
      <c r="H223" s="472"/>
      <c r="I223" s="44">
        <f t="shared" si="30"/>
        <v>0</v>
      </c>
      <c r="J223" s="330" t="str">
        <f t="shared" si="31"/>
        <v/>
      </c>
      <c r="K223" s="395"/>
      <c r="L223" s="48"/>
      <c r="M223" s="473"/>
      <c r="N223" s="473"/>
      <c r="O223" s="473"/>
      <c r="P223" s="473"/>
      <c r="Q223" s="473"/>
      <c r="R223" s="473"/>
      <c r="S223" s="473"/>
      <c r="T223" s="473"/>
      <c r="U223" s="473"/>
      <c r="V223" s="473"/>
      <c r="W223" s="473"/>
    </row>
    <row r="224" spans="1:23" ht="11.25" hidden="1" customHeight="1" x14ac:dyDescent="0.25">
      <c r="A224" s="407">
        <f>'Org structure'!E77</f>
        <v>0</v>
      </c>
      <c r="B224" s="445"/>
      <c r="C224" s="394"/>
      <c r="D224" s="383"/>
      <c r="E224" s="384"/>
      <c r="F224" s="472"/>
      <c r="G224" s="384"/>
      <c r="H224" s="472"/>
      <c r="I224" s="44">
        <f t="shared" si="30"/>
        <v>0</v>
      </c>
      <c r="J224" s="330" t="str">
        <f t="shared" si="31"/>
        <v/>
      </c>
      <c r="K224" s="395"/>
      <c r="L224" s="48"/>
      <c r="M224" s="473"/>
      <c r="N224" s="473"/>
      <c r="O224" s="473"/>
      <c r="P224" s="473"/>
      <c r="Q224" s="473"/>
      <c r="R224" s="473"/>
      <c r="S224" s="473"/>
      <c r="T224" s="473"/>
      <c r="U224" s="473"/>
      <c r="V224" s="473"/>
      <c r="W224" s="473"/>
    </row>
    <row r="225" spans="1:23" ht="11.25" hidden="1" customHeight="1" x14ac:dyDescent="0.25">
      <c r="A225" s="407">
        <f>'Org structure'!E78</f>
        <v>0</v>
      </c>
      <c r="B225" s="445"/>
      <c r="C225" s="394"/>
      <c r="D225" s="383"/>
      <c r="E225" s="384"/>
      <c r="F225" s="472"/>
      <c r="G225" s="384"/>
      <c r="H225" s="472"/>
      <c r="I225" s="44">
        <f t="shared" si="30"/>
        <v>0</v>
      </c>
      <c r="J225" s="330" t="str">
        <f t="shared" si="31"/>
        <v/>
      </c>
      <c r="K225" s="395"/>
      <c r="L225" s="48"/>
      <c r="M225" s="473"/>
      <c r="N225" s="473"/>
      <c r="O225" s="473"/>
      <c r="P225" s="473"/>
      <c r="Q225" s="473"/>
      <c r="R225" s="473"/>
      <c r="S225" s="473"/>
      <c r="T225" s="473"/>
      <c r="U225" s="473"/>
      <c r="V225" s="473"/>
      <c r="W225" s="473"/>
    </row>
    <row r="226" spans="1:23" ht="11.25" hidden="1" customHeight="1" x14ac:dyDescent="0.25">
      <c r="A226" s="466" t="str">
        <f>'Org structure'!A9</f>
        <v>Vote 8 - [NAME OF VOTE 8]</v>
      </c>
      <c r="B226" s="445"/>
      <c r="C226" s="503">
        <f t="shared" ref="C226:K226" si="38">SUM(C227:C236)</f>
        <v>0</v>
      </c>
      <c r="D226" s="444">
        <f t="shared" si="38"/>
        <v>0</v>
      </c>
      <c r="E226" s="441">
        <f t="shared" si="38"/>
        <v>0</v>
      </c>
      <c r="F226" s="443">
        <f t="shared" si="38"/>
        <v>0</v>
      </c>
      <c r="G226" s="441">
        <f t="shared" si="38"/>
        <v>0</v>
      </c>
      <c r="H226" s="443">
        <f t="shared" si="38"/>
        <v>0</v>
      </c>
      <c r="I226" s="44">
        <f t="shared" si="30"/>
        <v>0</v>
      </c>
      <c r="J226" s="330" t="str">
        <f t="shared" si="31"/>
        <v/>
      </c>
      <c r="K226" s="442">
        <f t="shared" si="38"/>
        <v>0</v>
      </c>
      <c r="L226" s="48"/>
      <c r="M226" s="473"/>
      <c r="N226" s="473"/>
      <c r="O226" s="473"/>
      <c r="P226" s="473"/>
      <c r="Q226" s="473"/>
      <c r="R226" s="473"/>
      <c r="S226" s="473"/>
      <c r="T226" s="473"/>
      <c r="U226" s="473"/>
      <c r="V226" s="473"/>
      <c r="W226" s="473"/>
    </row>
    <row r="227" spans="1:23" ht="11.25" hidden="1" customHeight="1" x14ac:dyDescent="0.25">
      <c r="A227" s="407" t="str">
        <f>'Org structure'!E80</f>
        <v>8.1 - [Name of sub-vote]</v>
      </c>
      <c r="B227" s="445"/>
      <c r="C227" s="394"/>
      <c r="D227" s="383"/>
      <c r="E227" s="384"/>
      <c r="F227" s="472"/>
      <c r="G227" s="384"/>
      <c r="H227" s="472"/>
      <c r="I227" s="44">
        <f t="shared" si="30"/>
        <v>0</v>
      </c>
      <c r="J227" s="330" t="str">
        <f t="shared" si="31"/>
        <v/>
      </c>
      <c r="K227" s="395"/>
      <c r="L227" s="48"/>
      <c r="M227" s="473"/>
      <c r="N227" s="473"/>
      <c r="O227" s="473"/>
      <c r="P227" s="473"/>
      <c r="Q227" s="473"/>
      <c r="R227" s="473"/>
      <c r="S227" s="473"/>
      <c r="T227" s="473"/>
      <c r="U227" s="473"/>
      <c r="V227" s="473"/>
      <c r="W227" s="473"/>
    </row>
    <row r="228" spans="1:23" ht="11.25" hidden="1" customHeight="1" x14ac:dyDescent="0.25">
      <c r="A228" s="407">
        <f>'Org structure'!E81</f>
        <v>0</v>
      </c>
      <c r="B228" s="445"/>
      <c r="C228" s="394"/>
      <c r="D228" s="383"/>
      <c r="E228" s="384"/>
      <c r="F228" s="472"/>
      <c r="G228" s="384"/>
      <c r="H228" s="472"/>
      <c r="I228" s="44">
        <f t="shared" si="30"/>
        <v>0</v>
      </c>
      <c r="J228" s="330" t="str">
        <f t="shared" si="31"/>
        <v/>
      </c>
      <c r="K228" s="395"/>
      <c r="L228" s="48"/>
      <c r="M228" s="473"/>
      <c r="N228" s="473"/>
      <c r="O228" s="473"/>
      <c r="P228" s="473"/>
      <c r="Q228" s="473"/>
      <c r="R228" s="473"/>
      <c r="S228" s="473"/>
      <c r="T228" s="473"/>
      <c r="U228" s="473"/>
      <c r="V228" s="473"/>
      <c r="W228" s="473"/>
    </row>
    <row r="229" spans="1:23" ht="11.25" hidden="1" customHeight="1" x14ac:dyDescent="0.25">
      <c r="A229" s="407">
        <f>'Org structure'!E82</f>
        <v>0</v>
      </c>
      <c r="B229" s="445"/>
      <c r="C229" s="394"/>
      <c r="D229" s="383"/>
      <c r="E229" s="384"/>
      <c r="F229" s="472"/>
      <c r="G229" s="384"/>
      <c r="H229" s="472"/>
      <c r="I229" s="44">
        <f t="shared" si="30"/>
        <v>0</v>
      </c>
      <c r="J229" s="330" t="str">
        <f t="shared" si="31"/>
        <v/>
      </c>
      <c r="K229" s="395"/>
      <c r="L229" s="48"/>
      <c r="M229" s="473"/>
      <c r="N229" s="473"/>
      <c r="O229" s="473"/>
      <c r="P229" s="473"/>
      <c r="Q229" s="473"/>
      <c r="R229" s="473"/>
      <c r="S229" s="473"/>
      <c r="T229" s="473"/>
      <c r="U229" s="473"/>
      <c r="V229" s="473"/>
      <c r="W229" s="473"/>
    </row>
    <row r="230" spans="1:23" ht="11.25" hidden="1" customHeight="1" x14ac:dyDescent="0.25">
      <c r="A230" s="407">
        <f>'Org structure'!E83</f>
        <v>0</v>
      </c>
      <c r="B230" s="445"/>
      <c r="C230" s="394"/>
      <c r="D230" s="383"/>
      <c r="E230" s="384"/>
      <c r="F230" s="472"/>
      <c r="G230" s="384"/>
      <c r="H230" s="472"/>
      <c r="I230" s="44">
        <f t="shared" si="30"/>
        <v>0</v>
      </c>
      <c r="J230" s="330" t="str">
        <f t="shared" si="31"/>
        <v/>
      </c>
      <c r="K230" s="395"/>
      <c r="L230" s="48"/>
      <c r="M230" s="473"/>
      <c r="N230" s="473"/>
      <c r="O230" s="473"/>
      <c r="P230" s="473"/>
      <c r="Q230" s="473"/>
      <c r="R230" s="473"/>
      <c r="S230" s="473"/>
      <c r="T230" s="473"/>
      <c r="U230" s="473"/>
      <c r="V230" s="473"/>
      <c r="W230" s="473"/>
    </row>
    <row r="231" spans="1:23" ht="11.25" hidden="1" customHeight="1" x14ac:dyDescent="0.25">
      <c r="A231" s="407">
        <f>'Org structure'!E84</f>
        <v>0</v>
      </c>
      <c r="B231" s="445"/>
      <c r="C231" s="394"/>
      <c r="D231" s="383"/>
      <c r="E231" s="384"/>
      <c r="F231" s="472"/>
      <c r="G231" s="384"/>
      <c r="H231" s="472"/>
      <c r="I231" s="44">
        <f t="shared" si="30"/>
        <v>0</v>
      </c>
      <c r="J231" s="330" t="str">
        <f t="shared" si="31"/>
        <v/>
      </c>
      <c r="K231" s="395"/>
      <c r="L231" s="48"/>
      <c r="M231" s="473"/>
      <c r="N231" s="473"/>
      <c r="O231" s="473"/>
      <c r="P231" s="473"/>
      <c r="Q231" s="473"/>
      <c r="R231" s="473"/>
      <c r="S231" s="473"/>
      <c r="T231" s="473"/>
      <c r="U231" s="473"/>
      <c r="V231" s="473"/>
      <c r="W231" s="473"/>
    </row>
    <row r="232" spans="1:23" ht="11.25" hidden="1" customHeight="1" x14ac:dyDescent="0.25">
      <c r="A232" s="407">
        <f>'Org structure'!E85</f>
        <v>0</v>
      </c>
      <c r="B232" s="445"/>
      <c r="C232" s="394"/>
      <c r="D232" s="383"/>
      <c r="E232" s="384"/>
      <c r="F232" s="472"/>
      <c r="G232" s="384"/>
      <c r="H232" s="472"/>
      <c r="I232" s="44">
        <f t="shared" si="30"/>
        <v>0</v>
      </c>
      <c r="J232" s="330" t="str">
        <f t="shared" si="31"/>
        <v/>
      </c>
      <c r="K232" s="395"/>
      <c r="L232" s="48"/>
      <c r="M232" s="473"/>
      <c r="N232" s="473"/>
      <c r="O232" s="473"/>
      <c r="P232" s="473"/>
      <c r="Q232" s="473"/>
      <c r="R232" s="473"/>
      <c r="S232" s="473"/>
      <c r="T232" s="473"/>
      <c r="U232" s="473"/>
      <c r="V232" s="473"/>
      <c r="W232" s="473"/>
    </row>
    <row r="233" spans="1:23" ht="11.25" hidden="1" customHeight="1" x14ac:dyDescent="0.25">
      <c r="A233" s="407">
        <f>'Org structure'!E86</f>
        <v>0</v>
      </c>
      <c r="B233" s="445"/>
      <c r="C233" s="394"/>
      <c r="D233" s="383"/>
      <c r="E233" s="384"/>
      <c r="F233" s="472"/>
      <c r="G233" s="384"/>
      <c r="H233" s="472"/>
      <c r="I233" s="44">
        <f t="shared" si="30"/>
        <v>0</v>
      </c>
      <c r="J233" s="330" t="str">
        <f t="shared" si="31"/>
        <v/>
      </c>
      <c r="K233" s="395"/>
      <c r="L233" s="48"/>
      <c r="M233" s="473"/>
      <c r="N233" s="473"/>
      <c r="O233" s="473"/>
      <c r="P233" s="473"/>
      <c r="Q233" s="473"/>
      <c r="R233" s="473"/>
      <c r="S233" s="473"/>
      <c r="T233" s="473"/>
      <c r="U233" s="473"/>
      <c r="V233" s="473"/>
      <c r="W233" s="473"/>
    </row>
    <row r="234" spans="1:23" ht="11.25" hidden="1" customHeight="1" x14ac:dyDescent="0.25">
      <c r="A234" s="407">
        <f>'Org structure'!E87</f>
        <v>0</v>
      </c>
      <c r="B234" s="445"/>
      <c r="C234" s="394"/>
      <c r="D234" s="383"/>
      <c r="E234" s="384"/>
      <c r="F234" s="472"/>
      <c r="G234" s="384"/>
      <c r="H234" s="472"/>
      <c r="I234" s="44">
        <f t="shared" si="30"/>
        <v>0</v>
      </c>
      <c r="J234" s="330" t="str">
        <f t="shared" si="31"/>
        <v/>
      </c>
      <c r="K234" s="395"/>
      <c r="L234" s="48"/>
      <c r="M234" s="473"/>
      <c r="N234" s="473"/>
      <c r="O234" s="473"/>
      <c r="P234" s="473"/>
      <c r="Q234" s="473"/>
      <c r="R234" s="473"/>
      <c r="S234" s="473"/>
      <c r="T234" s="473"/>
      <c r="U234" s="473"/>
      <c r="V234" s="473"/>
      <c r="W234" s="473"/>
    </row>
    <row r="235" spans="1:23" ht="11.25" hidden="1" customHeight="1" x14ac:dyDescent="0.25">
      <c r="A235" s="407">
        <f>'Org structure'!E88</f>
        <v>0</v>
      </c>
      <c r="B235" s="445"/>
      <c r="C235" s="394"/>
      <c r="D235" s="383"/>
      <c r="E235" s="384"/>
      <c r="F235" s="472"/>
      <c r="G235" s="384"/>
      <c r="H235" s="472"/>
      <c r="I235" s="44">
        <f t="shared" si="30"/>
        <v>0</v>
      </c>
      <c r="J235" s="330" t="str">
        <f t="shared" si="31"/>
        <v/>
      </c>
      <c r="K235" s="395"/>
      <c r="L235" s="48"/>
      <c r="M235" s="473"/>
      <c r="N235" s="473"/>
      <c r="O235" s="473"/>
      <c r="P235" s="473"/>
      <c r="Q235" s="473"/>
      <c r="R235" s="473"/>
      <c r="S235" s="473"/>
      <c r="T235" s="473"/>
      <c r="U235" s="473"/>
      <c r="V235" s="473"/>
      <c r="W235" s="473"/>
    </row>
    <row r="236" spans="1:23" ht="11.25" hidden="1" customHeight="1" x14ac:dyDescent="0.25">
      <c r="A236" s="407">
        <f>'Org structure'!E89</f>
        <v>0</v>
      </c>
      <c r="B236" s="445"/>
      <c r="C236" s="394"/>
      <c r="D236" s="383"/>
      <c r="E236" s="384"/>
      <c r="F236" s="472"/>
      <c r="G236" s="384"/>
      <c r="H236" s="472"/>
      <c r="I236" s="44">
        <f t="shared" si="30"/>
        <v>0</v>
      </c>
      <c r="J236" s="330" t="str">
        <f t="shared" si="31"/>
        <v/>
      </c>
      <c r="K236" s="395"/>
      <c r="L236" s="48"/>
      <c r="M236" s="473"/>
      <c r="N236" s="473"/>
      <c r="O236" s="473"/>
      <c r="P236" s="473"/>
      <c r="Q236" s="473"/>
      <c r="R236" s="473"/>
      <c r="S236" s="473"/>
      <c r="T236" s="473"/>
      <c r="U236" s="473"/>
      <c r="V236" s="473"/>
      <c r="W236" s="473"/>
    </row>
    <row r="237" spans="1:23" ht="11.25" hidden="1" customHeight="1" x14ac:dyDescent="0.25">
      <c r="A237" s="466" t="str">
        <f>'Org structure'!A10</f>
        <v>Vote 9 - [NAME OF VOTE 9]</v>
      </c>
      <c r="B237" s="445"/>
      <c r="C237" s="503">
        <f t="shared" ref="C237:K237" si="39">SUM(C238:C247)</f>
        <v>0</v>
      </c>
      <c r="D237" s="444">
        <f t="shared" si="39"/>
        <v>0</v>
      </c>
      <c r="E237" s="441">
        <f t="shared" si="39"/>
        <v>0</v>
      </c>
      <c r="F237" s="443">
        <f t="shared" si="39"/>
        <v>0</v>
      </c>
      <c r="G237" s="441">
        <f t="shared" si="39"/>
        <v>0</v>
      </c>
      <c r="H237" s="443">
        <f t="shared" si="39"/>
        <v>0</v>
      </c>
      <c r="I237" s="44">
        <f t="shared" ref="I237:I300" si="40">G237-H237</f>
        <v>0</v>
      </c>
      <c r="J237" s="330" t="str">
        <f t="shared" ref="J237:J300" si="41">IF(I237=0,"",I237/H237)</f>
        <v/>
      </c>
      <c r="K237" s="442">
        <f t="shared" si="39"/>
        <v>0</v>
      </c>
      <c r="L237" s="48"/>
      <c r="M237" s="473"/>
      <c r="N237" s="473"/>
      <c r="O237" s="473"/>
      <c r="P237" s="473"/>
      <c r="Q237" s="473"/>
      <c r="R237" s="473"/>
      <c r="S237" s="473"/>
      <c r="T237" s="473"/>
      <c r="U237" s="473"/>
      <c r="V237" s="473"/>
      <c r="W237" s="473"/>
    </row>
    <row r="238" spans="1:23" ht="11.25" hidden="1" customHeight="1" x14ac:dyDescent="0.25">
      <c r="A238" s="407" t="str">
        <f>'Org structure'!E91</f>
        <v>9.1 - [Name of sub-vote]</v>
      </c>
      <c r="B238" s="445"/>
      <c r="C238" s="394"/>
      <c r="D238" s="383"/>
      <c r="E238" s="384"/>
      <c r="F238" s="472"/>
      <c r="G238" s="384"/>
      <c r="H238" s="472"/>
      <c r="I238" s="44">
        <f t="shared" si="40"/>
        <v>0</v>
      </c>
      <c r="J238" s="330" t="str">
        <f t="shared" si="41"/>
        <v/>
      </c>
      <c r="K238" s="395"/>
      <c r="L238" s="48"/>
      <c r="M238" s="473"/>
      <c r="N238" s="473"/>
      <c r="O238" s="473"/>
      <c r="P238" s="473"/>
      <c r="Q238" s="473"/>
      <c r="R238" s="473"/>
      <c r="S238" s="473"/>
      <c r="T238" s="473"/>
      <c r="U238" s="473"/>
      <c r="V238" s="473"/>
      <c r="W238" s="473"/>
    </row>
    <row r="239" spans="1:23" ht="11.25" hidden="1" customHeight="1" x14ac:dyDescent="0.25">
      <c r="A239" s="407">
        <f>'Org structure'!E92</f>
        <v>0</v>
      </c>
      <c r="B239" s="445"/>
      <c r="C239" s="394"/>
      <c r="D239" s="383"/>
      <c r="E239" s="384"/>
      <c r="F239" s="472"/>
      <c r="G239" s="384"/>
      <c r="H239" s="472"/>
      <c r="I239" s="44">
        <f t="shared" si="40"/>
        <v>0</v>
      </c>
      <c r="J239" s="330" t="str">
        <f t="shared" si="41"/>
        <v/>
      </c>
      <c r="K239" s="395"/>
      <c r="L239" s="48"/>
      <c r="M239" s="473"/>
      <c r="N239" s="473"/>
      <c r="O239" s="473"/>
      <c r="P239" s="473"/>
      <c r="Q239" s="473"/>
      <c r="R239" s="473"/>
      <c r="S239" s="473"/>
      <c r="T239" s="473"/>
      <c r="U239" s="473"/>
      <c r="V239" s="473"/>
      <c r="W239" s="473"/>
    </row>
    <row r="240" spans="1:23" ht="11.25" hidden="1" customHeight="1" x14ac:dyDescent="0.25">
      <c r="A240" s="407">
        <f>'Org structure'!E93</f>
        <v>0</v>
      </c>
      <c r="B240" s="445"/>
      <c r="C240" s="394"/>
      <c r="D240" s="383"/>
      <c r="E240" s="384"/>
      <c r="F240" s="472"/>
      <c r="G240" s="384"/>
      <c r="H240" s="472"/>
      <c r="I240" s="44">
        <f t="shared" si="40"/>
        <v>0</v>
      </c>
      <c r="J240" s="330" t="str">
        <f t="shared" si="41"/>
        <v/>
      </c>
      <c r="K240" s="395"/>
      <c r="L240" s="48"/>
      <c r="M240" s="473"/>
      <c r="N240" s="473"/>
      <c r="O240" s="473"/>
      <c r="P240" s="473"/>
      <c r="Q240" s="473"/>
      <c r="R240" s="473"/>
      <c r="S240" s="473"/>
      <c r="T240" s="473"/>
      <c r="U240" s="473"/>
      <c r="V240" s="473"/>
      <c r="W240" s="473"/>
    </row>
    <row r="241" spans="1:23" ht="11.25" hidden="1" customHeight="1" x14ac:dyDescent="0.25">
      <c r="A241" s="407">
        <f>'Org structure'!E94</f>
        <v>0</v>
      </c>
      <c r="B241" s="445"/>
      <c r="C241" s="394"/>
      <c r="D241" s="383"/>
      <c r="E241" s="384"/>
      <c r="F241" s="472"/>
      <c r="G241" s="384"/>
      <c r="H241" s="472"/>
      <c r="I241" s="44">
        <f t="shared" si="40"/>
        <v>0</v>
      </c>
      <c r="J241" s="330" t="str">
        <f t="shared" si="41"/>
        <v/>
      </c>
      <c r="K241" s="395"/>
      <c r="L241" s="48"/>
      <c r="M241" s="473"/>
      <c r="N241" s="473"/>
      <c r="O241" s="473"/>
      <c r="P241" s="473"/>
      <c r="Q241" s="473"/>
      <c r="R241" s="473"/>
      <c r="S241" s="473"/>
      <c r="T241" s="473"/>
      <c r="U241" s="473"/>
      <c r="V241" s="473"/>
      <c r="W241" s="473"/>
    </row>
    <row r="242" spans="1:23" ht="11.25" hidden="1" customHeight="1" x14ac:dyDescent="0.25">
      <c r="A242" s="407">
        <f>'Org structure'!E95</f>
        <v>0</v>
      </c>
      <c r="B242" s="445"/>
      <c r="C242" s="394"/>
      <c r="D242" s="383"/>
      <c r="E242" s="384"/>
      <c r="F242" s="472"/>
      <c r="G242" s="384"/>
      <c r="H242" s="472"/>
      <c r="I242" s="44">
        <f t="shared" si="40"/>
        <v>0</v>
      </c>
      <c r="J242" s="330" t="str">
        <f t="shared" si="41"/>
        <v/>
      </c>
      <c r="K242" s="395"/>
      <c r="L242" s="48"/>
      <c r="M242" s="473"/>
      <c r="N242" s="473"/>
      <c r="O242" s="473"/>
      <c r="P242" s="473"/>
      <c r="Q242" s="473"/>
      <c r="R242" s="473"/>
      <c r="S242" s="473"/>
      <c r="T242" s="473"/>
      <c r="U242" s="473"/>
      <c r="V242" s="473"/>
      <c r="W242" s="473"/>
    </row>
    <row r="243" spans="1:23" ht="11.25" hidden="1" customHeight="1" x14ac:dyDescent="0.25">
      <c r="A243" s="407">
        <f>'Org structure'!E96</f>
        <v>0</v>
      </c>
      <c r="B243" s="445"/>
      <c r="C243" s="394"/>
      <c r="D243" s="383"/>
      <c r="E243" s="384"/>
      <c r="F243" s="472"/>
      <c r="G243" s="384"/>
      <c r="H243" s="472"/>
      <c r="I243" s="44">
        <f t="shared" si="40"/>
        <v>0</v>
      </c>
      <c r="J243" s="330" t="str">
        <f t="shared" si="41"/>
        <v/>
      </c>
      <c r="K243" s="395"/>
      <c r="L243" s="48"/>
      <c r="M243" s="473"/>
      <c r="N243" s="473"/>
      <c r="O243" s="473"/>
      <c r="P243" s="473"/>
      <c r="Q243" s="473"/>
      <c r="R243" s="473"/>
      <c r="S243" s="473"/>
      <c r="T243" s="473"/>
      <c r="U243" s="473"/>
      <c r="V243" s="473"/>
      <c r="W243" s="473"/>
    </row>
    <row r="244" spans="1:23" ht="11.25" hidden="1" customHeight="1" x14ac:dyDescent="0.25">
      <c r="A244" s="407">
        <f>'Org structure'!E97</f>
        <v>0</v>
      </c>
      <c r="B244" s="445"/>
      <c r="C244" s="394"/>
      <c r="D244" s="383"/>
      <c r="E244" s="384"/>
      <c r="F244" s="472"/>
      <c r="G244" s="384"/>
      <c r="H244" s="472"/>
      <c r="I244" s="44">
        <f t="shared" si="40"/>
        <v>0</v>
      </c>
      <c r="J244" s="330" t="str">
        <f t="shared" si="41"/>
        <v/>
      </c>
      <c r="K244" s="395"/>
      <c r="L244" s="48"/>
      <c r="M244" s="473"/>
      <c r="N244" s="473"/>
      <c r="O244" s="473"/>
      <c r="P244" s="473"/>
      <c r="Q244" s="473"/>
      <c r="R244" s="473"/>
      <c r="S244" s="473"/>
      <c r="T244" s="473"/>
      <c r="U244" s="473"/>
      <c r="V244" s="473"/>
      <c r="W244" s="473"/>
    </row>
    <row r="245" spans="1:23" ht="11.25" hidden="1" customHeight="1" x14ac:dyDescent="0.25">
      <c r="A245" s="407">
        <f>'Org structure'!E98</f>
        <v>0</v>
      </c>
      <c r="B245" s="445"/>
      <c r="C245" s="394"/>
      <c r="D245" s="383"/>
      <c r="E245" s="384"/>
      <c r="F245" s="472"/>
      <c r="G245" s="384"/>
      <c r="H245" s="472"/>
      <c r="I245" s="44">
        <f t="shared" si="40"/>
        <v>0</v>
      </c>
      <c r="J245" s="330" t="str">
        <f t="shared" si="41"/>
        <v/>
      </c>
      <c r="K245" s="395"/>
      <c r="L245" s="48"/>
      <c r="M245" s="473"/>
      <c r="N245" s="473"/>
      <c r="O245" s="473"/>
      <c r="P245" s="473"/>
      <c r="Q245" s="473"/>
      <c r="R245" s="473"/>
      <c r="S245" s="473"/>
      <c r="T245" s="473"/>
      <c r="U245" s="473"/>
      <c r="V245" s="473"/>
      <c r="W245" s="473"/>
    </row>
    <row r="246" spans="1:23" ht="11.25" hidden="1" customHeight="1" x14ac:dyDescent="0.25">
      <c r="A246" s="407">
        <f>'Org structure'!E99</f>
        <v>0</v>
      </c>
      <c r="B246" s="445"/>
      <c r="C246" s="394"/>
      <c r="D246" s="383"/>
      <c r="E246" s="384"/>
      <c r="F246" s="472"/>
      <c r="G246" s="384"/>
      <c r="H246" s="472"/>
      <c r="I246" s="44">
        <f t="shared" si="40"/>
        <v>0</v>
      </c>
      <c r="J246" s="330" t="str">
        <f t="shared" si="41"/>
        <v/>
      </c>
      <c r="K246" s="395"/>
      <c r="L246" s="48"/>
      <c r="M246" s="473"/>
      <c r="N246" s="473"/>
      <c r="O246" s="473"/>
      <c r="P246" s="473"/>
      <c r="Q246" s="473"/>
      <c r="R246" s="473"/>
      <c r="S246" s="473"/>
      <c r="T246" s="473"/>
      <c r="U246" s="473"/>
      <c r="V246" s="473"/>
      <c r="W246" s="473"/>
    </row>
    <row r="247" spans="1:23" ht="11.25" hidden="1" customHeight="1" x14ac:dyDescent="0.25">
      <c r="A247" s="407">
        <f>'Org structure'!E100</f>
        <v>0</v>
      </c>
      <c r="B247" s="445"/>
      <c r="C247" s="394"/>
      <c r="D247" s="383"/>
      <c r="E247" s="384"/>
      <c r="F247" s="472"/>
      <c r="G247" s="384"/>
      <c r="H247" s="472"/>
      <c r="I247" s="44">
        <f t="shared" si="40"/>
        <v>0</v>
      </c>
      <c r="J247" s="330" t="str">
        <f t="shared" si="41"/>
        <v/>
      </c>
      <c r="K247" s="395"/>
      <c r="L247" s="48"/>
      <c r="M247" s="473"/>
      <c r="N247" s="473"/>
      <c r="O247" s="473"/>
      <c r="P247" s="473"/>
      <c r="Q247" s="473"/>
      <c r="R247" s="473"/>
      <c r="S247" s="473"/>
      <c r="T247" s="473"/>
      <c r="U247" s="473"/>
      <c r="V247" s="473"/>
      <c r="W247" s="473"/>
    </row>
    <row r="248" spans="1:23" ht="11.25" hidden="1" customHeight="1" x14ac:dyDescent="0.25">
      <c r="A248" s="466" t="str">
        <f>'Org structure'!A11</f>
        <v>Vote 10 - [NAME OF VOTE 10]</v>
      </c>
      <c r="B248" s="445"/>
      <c r="C248" s="503">
        <f t="shared" ref="C248:K248" si="42">SUM(C249:C258)</f>
        <v>0</v>
      </c>
      <c r="D248" s="444">
        <f t="shared" si="42"/>
        <v>0</v>
      </c>
      <c r="E248" s="441">
        <f t="shared" si="42"/>
        <v>0</v>
      </c>
      <c r="F248" s="443">
        <f t="shared" si="42"/>
        <v>0</v>
      </c>
      <c r="G248" s="441">
        <f t="shared" si="42"/>
        <v>0</v>
      </c>
      <c r="H248" s="443">
        <f t="shared" si="42"/>
        <v>0</v>
      </c>
      <c r="I248" s="44">
        <f t="shared" si="40"/>
        <v>0</v>
      </c>
      <c r="J248" s="330" t="str">
        <f t="shared" si="41"/>
        <v/>
      </c>
      <c r="K248" s="442">
        <f t="shared" si="42"/>
        <v>0</v>
      </c>
      <c r="L248" s="48"/>
      <c r="M248" s="473"/>
      <c r="N248" s="473"/>
      <c r="O248" s="473"/>
      <c r="P248" s="473"/>
      <c r="Q248" s="473"/>
      <c r="R248" s="473"/>
      <c r="S248" s="473"/>
      <c r="T248" s="473"/>
      <c r="U248" s="473"/>
      <c r="V248" s="473"/>
      <c r="W248" s="473"/>
    </row>
    <row r="249" spans="1:23" ht="11.25" hidden="1" customHeight="1" x14ac:dyDescent="0.25">
      <c r="A249" s="407" t="str">
        <f>'Org structure'!E102</f>
        <v>10.1 - [Name of sub-vote]</v>
      </c>
      <c r="B249" s="445"/>
      <c r="C249" s="394"/>
      <c r="D249" s="383"/>
      <c r="E249" s="384"/>
      <c r="F249" s="472"/>
      <c r="G249" s="384"/>
      <c r="H249" s="472"/>
      <c r="I249" s="44">
        <f t="shared" si="40"/>
        <v>0</v>
      </c>
      <c r="J249" s="330" t="str">
        <f t="shared" si="41"/>
        <v/>
      </c>
      <c r="K249" s="395"/>
      <c r="L249" s="48"/>
      <c r="M249" s="473"/>
      <c r="N249" s="473"/>
      <c r="O249" s="473"/>
      <c r="P249" s="473"/>
      <c r="Q249" s="473"/>
      <c r="R249" s="473"/>
      <c r="S249" s="473"/>
      <c r="T249" s="473"/>
      <c r="U249" s="473"/>
      <c r="V249" s="473"/>
      <c r="W249" s="473"/>
    </row>
    <row r="250" spans="1:23" ht="11.25" hidden="1" customHeight="1" x14ac:dyDescent="0.25">
      <c r="A250" s="407">
        <f>'Org structure'!E103</f>
        <v>0</v>
      </c>
      <c r="B250" s="445"/>
      <c r="C250" s="394"/>
      <c r="D250" s="383"/>
      <c r="E250" s="384"/>
      <c r="F250" s="472"/>
      <c r="G250" s="384"/>
      <c r="H250" s="472"/>
      <c r="I250" s="44">
        <f t="shared" si="40"/>
        <v>0</v>
      </c>
      <c r="J250" s="330" t="str">
        <f t="shared" si="41"/>
        <v/>
      </c>
      <c r="K250" s="395"/>
      <c r="L250" s="48"/>
      <c r="M250" s="473"/>
      <c r="N250" s="473"/>
      <c r="O250" s="473"/>
      <c r="P250" s="473"/>
      <c r="Q250" s="473"/>
      <c r="R250" s="473"/>
      <c r="S250" s="473"/>
      <c r="T250" s="473"/>
      <c r="U250" s="473"/>
      <c r="V250" s="473"/>
      <c r="W250" s="473"/>
    </row>
    <row r="251" spans="1:23" ht="11.25" hidden="1" customHeight="1" x14ac:dyDescent="0.25">
      <c r="A251" s="407">
        <f>'Org structure'!E104</f>
        <v>0</v>
      </c>
      <c r="B251" s="445"/>
      <c r="C251" s="394"/>
      <c r="D251" s="383"/>
      <c r="E251" s="384"/>
      <c r="F251" s="472"/>
      <c r="G251" s="384"/>
      <c r="H251" s="472"/>
      <c r="I251" s="44">
        <f t="shared" si="40"/>
        <v>0</v>
      </c>
      <c r="J251" s="330" t="str">
        <f t="shared" si="41"/>
        <v/>
      </c>
      <c r="K251" s="395"/>
      <c r="L251" s="48"/>
      <c r="M251" s="473"/>
      <c r="N251" s="473"/>
      <c r="O251" s="473"/>
      <c r="P251" s="473"/>
      <c r="Q251" s="473"/>
      <c r="R251" s="473"/>
      <c r="S251" s="473"/>
      <c r="T251" s="473"/>
      <c r="U251" s="473"/>
      <c r="V251" s="473"/>
      <c r="W251" s="473"/>
    </row>
    <row r="252" spans="1:23" ht="11.25" hidden="1" customHeight="1" x14ac:dyDescent="0.25">
      <c r="A252" s="407">
        <f>'Org structure'!E105</f>
        <v>0</v>
      </c>
      <c r="B252" s="445"/>
      <c r="C252" s="394"/>
      <c r="D252" s="383"/>
      <c r="E252" s="384"/>
      <c r="F252" s="472"/>
      <c r="G252" s="384"/>
      <c r="H252" s="472"/>
      <c r="I252" s="44">
        <f t="shared" si="40"/>
        <v>0</v>
      </c>
      <c r="J252" s="330" t="str">
        <f t="shared" si="41"/>
        <v/>
      </c>
      <c r="K252" s="395"/>
      <c r="L252" s="48"/>
      <c r="M252" s="473"/>
      <c r="N252" s="473"/>
      <c r="O252" s="473"/>
      <c r="P252" s="473"/>
      <c r="Q252" s="473"/>
      <c r="R252" s="473"/>
      <c r="S252" s="473"/>
      <c r="T252" s="473"/>
      <c r="U252" s="473"/>
      <c r="V252" s="473"/>
      <c r="W252" s="473"/>
    </row>
    <row r="253" spans="1:23" ht="11.25" hidden="1" customHeight="1" x14ac:dyDescent="0.25">
      <c r="A253" s="407">
        <f>'Org structure'!E106</f>
        <v>0</v>
      </c>
      <c r="B253" s="445"/>
      <c r="C253" s="394"/>
      <c r="D253" s="383"/>
      <c r="E253" s="384"/>
      <c r="F253" s="472"/>
      <c r="G253" s="384"/>
      <c r="H253" s="472"/>
      <c r="I253" s="44">
        <f t="shared" si="40"/>
        <v>0</v>
      </c>
      <c r="J253" s="330" t="str">
        <f t="shared" si="41"/>
        <v/>
      </c>
      <c r="K253" s="395"/>
      <c r="L253" s="48"/>
      <c r="M253" s="473"/>
      <c r="N253" s="473"/>
      <c r="O253" s="473"/>
      <c r="P253" s="473"/>
      <c r="Q253" s="473"/>
      <c r="R253" s="473"/>
      <c r="S253" s="473"/>
      <c r="T253" s="473"/>
      <c r="U253" s="473"/>
      <c r="V253" s="473"/>
      <c r="W253" s="473"/>
    </row>
    <row r="254" spans="1:23" ht="11.25" hidden="1" customHeight="1" x14ac:dyDescent="0.25">
      <c r="A254" s="407">
        <f>'Org structure'!E107</f>
        <v>0</v>
      </c>
      <c r="B254" s="445"/>
      <c r="C254" s="394"/>
      <c r="D254" s="383"/>
      <c r="E254" s="384"/>
      <c r="F254" s="472"/>
      <c r="G254" s="384"/>
      <c r="H254" s="472"/>
      <c r="I254" s="44">
        <f t="shared" si="40"/>
        <v>0</v>
      </c>
      <c r="J254" s="330" t="str">
        <f t="shared" si="41"/>
        <v/>
      </c>
      <c r="K254" s="395"/>
      <c r="L254" s="48"/>
      <c r="M254" s="473"/>
      <c r="N254" s="473"/>
      <c r="O254" s="473"/>
      <c r="P254" s="473"/>
      <c r="Q254" s="473"/>
      <c r="R254" s="473"/>
      <c r="S254" s="473"/>
      <c r="T254" s="473"/>
      <c r="U254" s="473"/>
      <c r="V254" s="473"/>
      <c r="W254" s="473"/>
    </row>
    <row r="255" spans="1:23" ht="11.25" hidden="1" customHeight="1" x14ac:dyDescent="0.25">
      <c r="A255" s="407">
        <f>'Org structure'!E108</f>
        <v>0</v>
      </c>
      <c r="B255" s="445"/>
      <c r="C255" s="394"/>
      <c r="D255" s="383"/>
      <c r="E255" s="384"/>
      <c r="F255" s="472"/>
      <c r="G255" s="384"/>
      <c r="H255" s="472"/>
      <c r="I255" s="44">
        <f t="shared" si="40"/>
        <v>0</v>
      </c>
      <c r="J255" s="330" t="str">
        <f t="shared" si="41"/>
        <v/>
      </c>
      <c r="K255" s="395"/>
      <c r="L255" s="48"/>
      <c r="M255" s="473"/>
      <c r="N255" s="473"/>
      <c r="O255" s="473"/>
      <c r="P255" s="473"/>
      <c r="Q255" s="473"/>
      <c r="R255" s="473"/>
      <c r="S255" s="473"/>
      <c r="T255" s="473"/>
      <c r="U255" s="473"/>
      <c r="V255" s="473"/>
      <c r="W255" s="473"/>
    </row>
    <row r="256" spans="1:23" ht="11.25" hidden="1" customHeight="1" x14ac:dyDescent="0.25">
      <c r="A256" s="407">
        <f>'Org structure'!E109</f>
        <v>0</v>
      </c>
      <c r="B256" s="445"/>
      <c r="C256" s="394"/>
      <c r="D256" s="383"/>
      <c r="E256" s="384"/>
      <c r="F256" s="472"/>
      <c r="G256" s="384"/>
      <c r="H256" s="472"/>
      <c r="I256" s="44">
        <f t="shared" si="40"/>
        <v>0</v>
      </c>
      <c r="J256" s="330" t="str">
        <f t="shared" si="41"/>
        <v/>
      </c>
      <c r="K256" s="395"/>
      <c r="L256" s="48"/>
      <c r="M256" s="473"/>
      <c r="N256" s="473"/>
      <c r="O256" s="473"/>
      <c r="P256" s="473"/>
      <c r="Q256" s="473"/>
      <c r="R256" s="473"/>
      <c r="S256" s="473"/>
      <c r="T256" s="473"/>
      <c r="U256" s="473"/>
      <c r="V256" s="473"/>
      <c r="W256" s="473"/>
    </row>
    <row r="257" spans="1:23" ht="11.25" hidden="1" customHeight="1" x14ac:dyDescent="0.25">
      <c r="A257" s="407">
        <f>'Org structure'!E110</f>
        <v>0</v>
      </c>
      <c r="B257" s="445"/>
      <c r="C257" s="394"/>
      <c r="D257" s="383"/>
      <c r="E257" s="384"/>
      <c r="F257" s="472"/>
      <c r="G257" s="384"/>
      <c r="H257" s="472"/>
      <c r="I257" s="44">
        <f t="shared" si="40"/>
        <v>0</v>
      </c>
      <c r="J257" s="330" t="str">
        <f t="shared" si="41"/>
        <v/>
      </c>
      <c r="K257" s="395"/>
      <c r="L257" s="48"/>
      <c r="M257" s="473"/>
      <c r="N257" s="473"/>
      <c r="O257" s="473"/>
      <c r="P257" s="473"/>
      <c r="Q257" s="473"/>
      <c r="R257" s="473"/>
      <c r="S257" s="473"/>
      <c r="T257" s="473"/>
      <c r="U257" s="473"/>
      <c r="V257" s="473"/>
      <c r="W257" s="473"/>
    </row>
    <row r="258" spans="1:23" ht="11.25" hidden="1" customHeight="1" x14ac:dyDescent="0.25">
      <c r="A258" s="407">
        <f>'Org structure'!E111</f>
        <v>0</v>
      </c>
      <c r="B258" s="445"/>
      <c r="C258" s="394"/>
      <c r="D258" s="383"/>
      <c r="E258" s="384"/>
      <c r="F258" s="472"/>
      <c r="G258" s="384"/>
      <c r="H258" s="472"/>
      <c r="I258" s="44">
        <f t="shared" si="40"/>
        <v>0</v>
      </c>
      <c r="J258" s="330" t="str">
        <f t="shared" si="41"/>
        <v/>
      </c>
      <c r="K258" s="395"/>
      <c r="L258" s="48"/>
      <c r="M258" s="473"/>
      <c r="N258" s="473"/>
      <c r="O258" s="473"/>
      <c r="P258" s="473"/>
      <c r="Q258" s="473"/>
      <c r="R258" s="473"/>
      <c r="S258" s="473"/>
      <c r="T258" s="473"/>
      <c r="U258" s="473"/>
      <c r="V258" s="473"/>
      <c r="W258" s="473"/>
    </row>
    <row r="259" spans="1:23" ht="11.25" hidden="1" customHeight="1" x14ac:dyDescent="0.25">
      <c r="A259" s="466" t="str">
        <f>'Org structure'!A12</f>
        <v>Vote 11 - [NAME OF VOTE 11]</v>
      </c>
      <c r="B259" s="445"/>
      <c r="C259" s="503">
        <f t="shared" ref="C259:K259" si="43">SUM(C260:C269)</f>
        <v>0</v>
      </c>
      <c r="D259" s="444">
        <f t="shared" si="43"/>
        <v>0</v>
      </c>
      <c r="E259" s="441">
        <f t="shared" si="43"/>
        <v>0</v>
      </c>
      <c r="F259" s="443">
        <f t="shared" si="43"/>
        <v>0</v>
      </c>
      <c r="G259" s="441">
        <f t="shared" si="43"/>
        <v>0</v>
      </c>
      <c r="H259" s="443">
        <f t="shared" si="43"/>
        <v>0</v>
      </c>
      <c r="I259" s="44">
        <f t="shared" si="40"/>
        <v>0</v>
      </c>
      <c r="J259" s="330" t="str">
        <f t="shared" si="41"/>
        <v/>
      </c>
      <c r="K259" s="442">
        <f t="shared" si="43"/>
        <v>0</v>
      </c>
      <c r="L259" s="48"/>
      <c r="M259" s="473"/>
      <c r="N259" s="473"/>
      <c r="O259" s="473"/>
      <c r="P259" s="473"/>
      <c r="Q259" s="473"/>
      <c r="R259" s="473"/>
      <c r="S259" s="473"/>
      <c r="T259" s="473"/>
      <c r="U259" s="473"/>
      <c r="V259" s="473"/>
      <c r="W259" s="473"/>
    </row>
    <row r="260" spans="1:23" ht="11.25" hidden="1" customHeight="1" x14ac:dyDescent="0.25">
      <c r="A260" s="407" t="str">
        <f>'Org structure'!E113</f>
        <v>11.1 - [Name of sub-vote]</v>
      </c>
      <c r="B260" s="445"/>
      <c r="C260" s="394"/>
      <c r="D260" s="383"/>
      <c r="E260" s="384"/>
      <c r="F260" s="472"/>
      <c r="G260" s="384"/>
      <c r="H260" s="472"/>
      <c r="I260" s="44">
        <f t="shared" si="40"/>
        <v>0</v>
      </c>
      <c r="J260" s="330" t="str">
        <f t="shared" si="41"/>
        <v/>
      </c>
      <c r="K260" s="395"/>
      <c r="L260" s="48"/>
      <c r="M260" s="473"/>
      <c r="N260" s="473"/>
      <c r="O260" s="473"/>
      <c r="P260" s="473"/>
      <c r="Q260" s="473"/>
      <c r="R260" s="473"/>
      <c r="S260" s="473"/>
      <c r="T260" s="473"/>
      <c r="U260" s="473"/>
      <c r="V260" s="473"/>
      <c r="W260" s="473"/>
    </row>
    <row r="261" spans="1:23" ht="11.25" hidden="1" customHeight="1" x14ac:dyDescent="0.25">
      <c r="A261" s="407">
        <f>'Org structure'!E114</f>
        <v>0</v>
      </c>
      <c r="B261" s="445"/>
      <c r="C261" s="394"/>
      <c r="D261" s="383"/>
      <c r="E261" s="384"/>
      <c r="F261" s="472"/>
      <c r="G261" s="384"/>
      <c r="H261" s="472"/>
      <c r="I261" s="44">
        <f t="shared" si="40"/>
        <v>0</v>
      </c>
      <c r="J261" s="330" t="str">
        <f t="shared" si="41"/>
        <v/>
      </c>
      <c r="K261" s="395"/>
      <c r="L261" s="48"/>
      <c r="M261" s="473"/>
      <c r="N261" s="473"/>
      <c r="O261" s="473"/>
      <c r="P261" s="473"/>
      <c r="Q261" s="473"/>
      <c r="R261" s="473"/>
      <c r="S261" s="473"/>
      <c r="T261" s="473"/>
      <c r="U261" s="473"/>
      <c r="V261" s="473"/>
      <c r="W261" s="473"/>
    </row>
    <row r="262" spans="1:23" ht="11.25" hidden="1" customHeight="1" x14ac:dyDescent="0.25">
      <c r="A262" s="407">
        <f>'Org structure'!E115</f>
        <v>0</v>
      </c>
      <c r="B262" s="445"/>
      <c r="C262" s="394"/>
      <c r="D262" s="383"/>
      <c r="E262" s="384"/>
      <c r="F262" s="472"/>
      <c r="G262" s="384"/>
      <c r="H262" s="472"/>
      <c r="I262" s="44">
        <f t="shared" si="40"/>
        <v>0</v>
      </c>
      <c r="J262" s="330" t="str">
        <f t="shared" si="41"/>
        <v/>
      </c>
      <c r="K262" s="395"/>
      <c r="L262" s="48"/>
      <c r="M262" s="473"/>
      <c r="N262" s="473"/>
      <c r="O262" s="473"/>
      <c r="P262" s="473"/>
      <c r="Q262" s="473"/>
      <c r="R262" s="473"/>
      <c r="S262" s="473"/>
      <c r="T262" s="473"/>
      <c r="U262" s="473"/>
      <c r="V262" s="473"/>
      <c r="W262" s="473"/>
    </row>
    <row r="263" spans="1:23" ht="11.25" hidden="1" customHeight="1" x14ac:dyDescent="0.25">
      <c r="A263" s="407">
        <f>'Org structure'!E116</f>
        <v>0</v>
      </c>
      <c r="B263" s="445"/>
      <c r="C263" s="394"/>
      <c r="D263" s="383"/>
      <c r="E263" s="384"/>
      <c r="F263" s="472"/>
      <c r="G263" s="384"/>
      <c r="H263" s="472"/>
      <c r="I263" s="44">
        <f t="shared" si="40"/>
        <v>0</v>
      </c>
      <c r="J263" s="330" t="str">
        <f t="shared" si="41"/>
        <v/>
      </c>
      <c r="K263" s="395"/>
      <c r="L263" s="48"/>
      <c r="M263" s="473"/>
      <c r="N263" s="473"/>
      <c r="O263" s="473"/>
      <c r="P263" s="473"/>
      <c r="Q263" s="473"/>
      <c r="R263" s="473"/>
      <c r="S263" s="473"/>
      <c r="T263" s="473"/>
      <c r="U263" s="473"/>
      <c r="V263" s="473"/>
      <c r="W263" s="473"/>
    </row>
    <row r="264" spans="1:23" ht="11.25" hidden="1" customHeight="1" x14ac:dyDescent="0.25">
      <c r="A264" s="407">
        <f>'Org structure'!E117</f>
        <v>0</v>
      </c>
      <c r="B264" s="445"/>
      <c r="C264" s="394"/>
      <c r="D264" s="383"/>
      <c r="E264" s="384"/>
      <c r="F264" s="472"/>
      <c r="G264" s="384"/>
      <c r="H264" s="472"/>
      <c r="I264" s="44">
        <f t="shared" si="40"/>
        <v>0</v>
      </c>
      <c r="J264" s="330" t="str">
        <f t="shared" si="41"/>
        <v/>
      </c>
      <c r="K264" s="395"/>
      <c r="L264" s="48"/>
      <c r="M264" s="473"/>
      <c r="N264" s="473"/>
      <c r="O264" s="473"/>
      <c r="P264" s="473"/>
      <c r="Q264" s="473"/>
      <c r="R264" s="473"/>
      <c r="S264" s="473"/>
      <c r="T264" s="473"/>
      <c r="U264" s="473"/>
      <c r="V264" s="473"/>
      <c r="W264" s="473"/>
    </row>
    <row r="265" spans="1:23" ht="11.25" hidden="1" customHeight="1" x14ac:dyDescent="0.25">
      <c r="A265" s="407">
        <f>'Org structure'!E118</f>
        <v>0</v>
      </c>
      <c r="B265" s="445"/>
      <c r="C265" s="394"/>
      <c r="D265" s="383"/>
      <c r="E265" s="384"/>
      <c r="F265" s="472"/>
      <c r="G265" s="384"/>
      <c r="H265" s="472"/>
      <c r="I265" s="44">
        <f t="shared" si="40"/>
        <v>0</v>
      </c>
      <c r="J265" s="330" t="str">
        <f t="shared" si="41"/>
        <v/>
      </c>
      <c r="K265" s="395"/>
      <c r="L265" s="48"/>
      <c r="M265" s="473"/>
      <c r="N265" s="473"/>
      <c r="O265" s="473"/>
      <c r="P265" s="473"/>
      <c r="Q265" s="473"/>
      <c r="R265" s="473"/>
      <c r="S265" s="473"/>
      <c r="T265" s="473"/>
      <c r="U265" s="473"/>
      <c r="V265" s="473"/>
      <c r="W265" s="473"/>
    </row>
    <row r="266" spans="1:23" ht="11.25" hidden="1" customHeight="1" x14ac:dyDescent="0.25">
      <c r="A266" s="407">
        <f>'Org structure'!E119</f>
        <v>0</v>
      </c>
      <c r="B266" s="445"/>
      <c r="C266" s="394"/>
      <c r="D266" s="383"/>
      <c r="E266" s="384"/>
      <c r="F266" s="472"/>
      <c r="G266" s="384"/>
      <c r="H266" s="472"/>
      <c r="I266" s="44">
        <f t="shared" si="40"/>
        <v>0</v>
      </c>
      <c r="J266" s="330" t="str">
        <f t="shared" si="41"/>
        <v/>
      </c>
      <c r="K266" s="395"/>
      <c r="L266" s="48"/>
      <c r="M266" s="473"/>
      <c r="N266" s="473"/>
      <c r="O266" s="473"/>
      <c r="P266" s="473"/>
      <c r="Q266" s="473"/>
      <c r="R266" s="473"/>
      <c r="S266" s="473"/>
      <c r="T266" s="473"/>
      <c r="U266" s="473"/>
      <c r="V266" s="473"/>
      <c r="W266" s="473"/>
    </row>
    <row r="267" spans="1:23" ht="11.25" hidden="1" customHeight="1" x14ac:dyDescent="0.25">
      <c r="A267" s="407">
        <f>'Org structure'!E120</f>
        <v>0</v>
      </c>
      <c r="B267" s="445"/>
      <c r="C267" s="394"/>
      <c r="D267" s="383"/>
      <c r="E267" s="384"/>
      <c r="F267" s="472"/>
      <c r="G267" s="384"/>
      <c r="H267" s="472"/>
      <c r="I267" s="44">
        <f t="shared" si="40"/>
        <v>0</v>
      </c>
      <c r="J267" s="330" t="str">
        <f t="shared" si="41"/>
        <v/>
      </c>
      <c r="K267" s="395"/>
      <c r="L267" s="48"/>
      <c r="M267" s="473"/>
      <c r="N267" s="473"/>
      <c r="O267" s="473"/>
      <c r="P267" s="473"/>
      <c r="Q267" s="473"/>
      <c r="R267" s="473"/>
      <c r="S267" s="473"/>
      <c r="T267" s="473"/>
      <c r="U267" s="473"/>
      <c r="V267" s="473"/>
      <c r="W267" s="473"/>
    </row>
    <row r="268" spans="1:23" ht="11.25" hidden="1" customHeight="1" x14ac:dyDescent="0.25">
      <c r="A268" s="407">
        <f>'Org structure'!E121</f>
        <v>0</v>
      </c>
      <c r="B268" s="445"/>
      <c r="C268" s="394"/>
      <c r="D268" s="383"/>
      <c r="E268" s="384"/>
      <c r="F268" s="472"/>
      <c r="G268" s="384"/>
      <c r="H268" s="472"/>
      <c r="I268" s="44">
        <f t="shared" si="40"/>
        <v>0</v>
      </c>
      <c r="J268" s="330" t="str">
        <f t="shared" si="41"/>
        <v/>
      </c>
      <c r="K268" s="395"/>
      <c r="L268" s="48"/>
      <c r="M268" s="473"/>
      <c r="N268" s="473"/>
      <c r="O268" s="473"/>
      <c r="P268" s="473"/>
      <c r="Q268" s="473"/>
      <c r="R268" s="473"/>
      <c r="S268" s="473"/>
      <c r="T268" s="473"/>
      <c r="U268" s="473"/>
      <c r="V268" s="473"/>
      <c r="W268" s="473"/>
    </row>
    <row r="269" spans="1:23" ht="11.25" hidden="1" customHeight="1" x14ac:dyDescent="0.25">
      <c r="A269" s="407">
        <f>'Org structure'!E122</f>
        <v>0</v>
      </c>
      <c r="B269" s="445"/>
      <c r="C269" s="394"/>
      <c r="D269" s="383"/>
      <c r="E269" s="384"/>
      <c r="F269" s="472"/>
      <c r="G269" s="384"/>
      <c r="H269" s="472"/>
      <c r="I269" s="44">
        <f t="shared" si="40"/>
        <v>0</v>
      </c>
      <c r="J269" s="330" t="str">
        <f t="shared" si="41"/>
        <v/>
      </c>
      <c r="K269" s="395"/>
      <c r="L269" s="48"/>
      <c r="M269" s="473"/>
      <c r="N269" s="473"/>
      <c r="O269" s="473"/>
      <c r="P269" s="473"/>
      <c r="Q269" s="473"/>
      <c r="R269" s="473"/>
      <c r="S269" s="473"/>
      <c r="T269" s="473"/>
      <c r="U269" s="473"/>
      <c r="V269" s="473"/>
      <c r="W269" s="473"/>
    </row>
    <row r="270" spans="1:23" ht="11.25" hidden="1" customHeight="1" x14ac:dyDescent="0.25">
      <c r="A270" s="466" t="str">
        <f>'Org structure'!A13</f>
        <v>Vote 12 - [NAME OF VOTE 12]</v>
      </c>
      <c r="B270" s="445"/>
      <c r="C270" s="503">
        <f t="shared" ref="C270:K270" si="44">SUM(C271:C280)</f>
        <v>0</v>
      </c>
      <c r="D270" s="444">
        <f t="shared" si="44"/>
        <v>0</v>
      </c>
      <c r="E270" s="441">
        <f t="shared" si="44"/>
        <v>0</v>
      </c>
      <c r="F270" s="443">
        <f t="shared" si="44"/>
        <v>0</v>
      </c>
      <c r="G270" s="441">
        <f t="shared" si="44"/>
        <v>0</v>
      </c>
      <c r="H270" s="443">
        <f t="shared" si="44"/>
        <v>0</v>
      </c>
      <c r="I270" s="44">
        <f t="shared" si="40"/>
        <v>0</v>
      </c>
      <c r="J270" s="330" t="str">
        <f t="shared" si="41"/>
        <v/>
      </c>
      <c r="K270" s="442">
        <f t="shared" si="44"/>
        <v>0</v>
      </c>
      <c r="L270" s="48"/>
      <c r="M270" s="473"/>
      <c r="N270" s="473"/>
      <c r="O270" s="473"/>
      <c r="P270" s="473"/>
      <c r="Q270" s="473"/>
      <c r="R270" s="473"/>
      <c r="S270" s="473"/>
      <c r="T270" s="473"/>
      <c r="U270" s="473"/>
      <c r="V270" s="473"/>
      <c r="W270" s="473"/>
    </row>
    <row r="271" spans="1:23" ht="11.25" hidden="1" customHeight="1" x14ac:dyDescent="0.25">
      <c r="A271" s="407" t="str">
        <f>'Org structure'!E124</f>
        <v>12.1 - [Name of sub-vote]</v>
      </c>
      <c r="B271" s="445"/>
      <c r="C271" s="394"/>
      <c r="D271" s="383"/>
      <c r="E271" s="384"/>
      <c r="F271" s="472"/>
      <c r="G271" s="384"/>
      <c r="H271" s="472"/>
      <c r="I271" s="44">
        <f t="shared" si="40"/>
        <v>0</v>
      </c>
      <c r="J271" s="330" t="str">
        <f t="shared" si="41"/>
        <v/>
      </c>
      <c r="K271" s="395"/>
      <c r="L271" s="48"/>
      <c r="M271" s="473"/>
      <c r="N271" s="473"/>
      <c r="O271" s="473"/>
      <c r="P271" s="473"/>
      <c r="Q271" s="473"/>
      <c r="R271" s="473"/>
      <c r="S271" s="473"/>
      <c r="T271" s="473"/>
      <c r="U271" s="473"/>
      <c r="V271" s="473"/>
      <c r="W271" s="473"/>
    </row>
    <row r="272" spans="1:23" ht="11.25" hidden="1" customHeight="1" x14ac:dyDescent="0.25">
      <c r="A272" s="407">
        <f>'Org structure'!E125</f>
        <v>0</v>
      </c>
      <c r="B272" s="445"/>
      <c r="C272" s="394"/>
      <c r="D272" s="383"/>
      <c r="E272" s="384"/>
      <c r="F272" s="472"/>
      <c r="G272" s="384"/>
      <c r="H272" s="472"/>
      <c r="I272" s="44">
        <f t="shared" si="40"/>
        <v>0</v>
      </c>
      <c r="J272" s="330" t="str">
        <f t="shared" si="41"/>
        <v/>
      </c>
      <c r="K272" s="395"/>
      <c r="L272" s="48"/>
      <c r="M272" s="473"/>
      <c r="N272" s="473"/>
      <c r="O272" s="473"/>
      <c r="P272" s="473"/>
      <c r="Q272" s="473"/>
      <c r="R272" s="473"/>
      <c r="S272" s="473"/>
      <c r="T272" s="473"/>
      <c r="U272" s="473"/>
      <c r="V272" s="473"/>
      <c r="W272" s="473"/>
    </row>
    <row r="273" spans="1:23" ht="11.25" hidden="1" customHeight="1" x14ac:dyDescent="0.25">
      <c r="A273" s="407">
        <f>'Org structure'!E126</f>
        <v>0</v>
      </c>
      <c r="B273" s="445"/>
      <c r="C273" s="394"/>
      <c r="D273" s="383"/>
      <c r="E273" s="384"/>
      <c r="F273" s="472"/>
      <c r="G273" s="384"/>
      <c r="H273" s="472"/>
      <c r="I273" s="44">
        <f t="shared" si="40"/>
        <v>0</v>
      </c>
      <c r="J273" s="330" t="str">
        <f t="shared" si="41"/>
        <v/>
      </c>
      <c r="K273" s="395"/>
      <c r="L273" s="48"/>
      <c r="M273" s="473"/>
      <c r="N273" s="473"/>
      <c r="O273" s="473"/>
      <c r="P273" s="473"/>
      <c r="Q273" s="473"/>
      <c r="R273" s="473"/>
      <c r="S273" s="473"/>
      <c r="T273" s="473"/>
      <c r="U273" s="473"/>
      <c r="V273" s="473"/>
      <c r="W273" s="473"/>
    </row>
    <row r="274" spans="1:23" ht="11.25" hidden="1" customHeight="1" x14ac:dyDescent="0.25">
      <c r="A274" s="407">
        <f>'Org structure'!E127</f>
        <v>0</v>
      </c>
      <c r="B274" s="445"/>
      <c r="C274" s="394"/>
      <c r="D274" s="383"/>
      <c r="E274" s="384"/>
      <c r="F274" s="472"/>
      <c r="G274" s="384"/>
      <c r="H274" s="472"/>
      <c r="I274" s="44">
        <f t="shared" si="40"/>
        <v>0</v>
      </c>
      <c r="J274" s="330" t="str">
        <f t="shared" si="41"/>
        <v/>
      </c>
      <c r="K274" s="395"/>
      <c r="L274" s="48"/>
      <c r="M274" s="473"/>
      <c r="N274" s="473"/>
      <c r="O274" s="473"/>
      <c r="P274" s="473"/>
      <c r="Q274" s="473"/>
      <c r="R274" s="473"/>
      <c r="S274" s="473"/>
      <c r="T274" s="473"/>
      <c r="U274" s="473"/>
      <c r="V274" s="473"/>
      <c r="W274" s="473"/>
    </row>
    <row r="275" spans="1:23" ht="11.25" hidden="1" customHeight="1" x14ac:dyDescent="0.25">
      <c r="A275" s="407">
        <f>'Org structure'!E128</f>
        <v>0</v>
      </c>
      <c r="B275" s="445"/>
      <c r="C275" s="394"/>
      <c r="D275" s="383"/>
      <c r="E275" s="384"/>
      <c r="F275" s="472"/>
      <c r="G275" s="384"/>
      <c r="H275" s="472"/>
      <c r="I275" s="44">
        <f t="shared" si="40"/>
        <v>0</v>
      </c>
      <c r="J275" s="330" t="str">
        <f t="shared" si="41"/>
        <v/>
      </c>
      <c r="K275" s="395"/>
      <c r="L275" s="48"/>
      <c r="M275" s="473"/>
      <c r="N275" s="473"/>
      <c r="O275" s="473"/>
      <c r="P275" s="473"/>
      <c r="Q275" s="473"/>
      <c r="R275" s="473"/>
      <c r="S275" s="473"/>
      <c r="T275" s="473"/>
      <c r="U275" s="473"/>
      <c r="V275" s="473"/>
      <c r="W275" s="473"/>
    </row>
    <row r="276" spans="1:23" ht="11.25" hidden="1" customHeight="1" x14ac:dyDescent="0.25">
      <c r="A276" s="407">
        <f>'Org structure'!E129</f>
        <v>0</v>
      </c>
      <c r="B276" s="445"/>
      <c r="C276" s="394"/>
      <c r="D276" s="383"/>
      <c r="E276" s="384"/>
      <c r="F276" s="472"/>
      <c r="G276" s="384"/>
      <c r="H276" s="472"/>
      <c r="I276" s="44">
        <f t="shared" si="40"/>
        <v>0</v>
      </c>
      <c r="J276" s="330" t="str">
        <f t="shared" si="41"/>
        <v/>
      </c>
      <c r="K276" s="395"/>
      <c r="L276" s="48"/>
      <c r="M276" s="473"/>
      <c r="N276" s="473"/>
      <c r="O276" s="473"/>
      <c r="P276" s="473"/>
      <c r="Q276" s="473"/>
      <c r="R276" s="473"/>
      <c r="S276" s="473"/>
      <c r="T276" s="473"/>
      <c r="U276" s="473"/>
      <c r="V276" s="473"/>
      <c r="W276" s="473"/>
    </row>
    <row r="277" spans="1:23" ht="11.25" hidden="1" customHeight="1" x14ac:dyDescent="0.25">
      <c r="A277" s="407">
        <f>'Org structure'!E130</f>
        <v>0</v>
      </c>
      <c r="B277" s="445"/>
      <c r="C277" s="394"/>
      <c r="D277" s="383"/>
      <c r="E277" s="384"/>
      <c r="F277" s="472"/>
      <c r="G277" s="384"/>
      <c r="H277" s="472"/>
      <c r="I277" s="44">
        <f t="shared" si="40"/>
        <v>0</v>
      </c>
      <c r="J277" s="330" t="str">
        <f t="shared" si="41"/>
        <v/>
      </c>
      <c r="K277" s="395"/>
      <c r="L277" s="48"/>
      <c r="M277" s="473"/>
      <c r="N277" s="473"/>
      <c r="O277" s="473"/>
      <c r="P277" s="473"/>
      <c r="Q277" s="473"/>
      <c r="R277" s="473"/>
      <c r="S277" s="473"/>
      <c r="T277" s="473"/>
      <c r="U277" s="473"/>
      <c r="V277" s="473"/>
      <c r="W277" s="473"/>
    </row>
    <row r="278" spans="1:23" ht="11.25" hidden="1" customHeight="1" x14ac:dyDescent="0.25">
      <c r="A278" s="407">
        <f>'Org structure'!E131</f>
        <v>0</v>
      </c>
      <c r="B278" s="445"/>
      <c r="C278" s="394"/>
      <c r="D278" s="383"/>
      <c r="E278" s="384"/>
      <c r="F278" s="472"/>
      <c r="G278" s="384"/>
      <c r="H278" s="472"/>
      <c r="I278" s="44">
        <f t="shared" si="40"/>
        <v>0</v>
      </c>
      <c r="J278" s="330" t="str">
        <f t="shared" si="41"/>
        <v/>
      </c>
      <c r="K278" s="395"/>
      <c r="L278" s="48"/>
      <c r="M278" s="473"/>
      <c r="N278" s="473"/>
      <c r="O278" s="473"/>
      <c r="P278" s="473"/>
      <c r="Q278" s="473"/>
      <c r="R278" s="473"/>
      <c r="S278" s="473"/>
      <c r="T278" s="473"/>
      <c r="U278" s="473"/>
      <c r="V278" s="473"/>
      <c r="W278" s="473"/>
    </row>
    <row r="279" spans="1:23" ht="11.25" hidden="1" customHeight="1" x14ac:dyDescent="0.25">
      <c r="A279" s="407">
        <f>'Org structure'!E132</f>
        <v>0</v>
      </c>
      <c r="B279" s="445"/>
      <c r="C279" s="394"/>
      <c r="D279" s="383"/>
      <c r="E279" s="384"/>
      <c r="F279" s="472"/>
      <c r="G279" s="384"/>
      <c r="H279" s="472"/>
      <c r="I279" s="44">
        <f t="shared" si="40"/>
        <v>0</v>
      </c>
      <c r="J279" s="330" t="str">
        <f t="shared" si="41"/>
        <v/>
      </c>
      <c r="K279" s="395"/>
      <c r="L279" s="48"/>
      <c r="M279" s="473"/>
      <c r="N279" s="473"/>
      <c r="O279" s="473"/>
      <c r="P279" s="473"/>
      <c r="Q279" s="473"/>
      <c r="R279" s="473"/>
      <c r="S279" s="473"/>
      <c r="T279" s="473"/>
      <c r="U279" s="473"/>
      <c r="V279" s="473"/>
      <c r="W279" s="473"/>
    </row>
    <row r="280" spans="1:23" ht="11.25" hidden="1" customHeight="1" x14ac:dyDescent="0.25">
      <c r="A280" s="407">
        <f>'Org structure'!E133</f>
        <v>0</v>
      </c>
      <c r="B280" s="445"/>
      <c r="C280" s="394"/>
      <c r="D280" s="383"/>
      <c r="E280" s="384"/>
      <c r="F280" s="472"/>
      <c r="G280" s="384"/>
      <c r="H280" s="472"/>
      <c r="I280" s="44">
        <f t="shared" si="40"/>
        <v>0</v>
      </c>
      <c r="J280" s="330" t="str">
        <f t="shared" si="41"/>
        <v/>
      </c>
      <c r="K280" s="395"/>
      <c r="L280" s="48"/>
      <c r="M280" s="473"/>
      <c r="N280" s="473"/>
      <c r="O280" s="473"/>
      <c r="P280" s="473"/>
      <c r="Q280" s="473"/>
      <c r="R280" s="473"/>
      <c r="S280" s="473"/>
      <c r="T280" s="473"/>
      <c r="U280" s="473"/>
      <c r="V280" s="473"/>
      <c r="W280" s="473"/>
    </row>
    <row r="281" spans="1:23" ht="11.25" hidden="1" customHeight="1" x14ac:dyDescent="0.25">
      <c r="A281" s="466" t="str">
        <f>'Org structure'!A14</f>
        <v>Vote 13 - [NAME OF VOTE 13]</v>
      </c>
      <c r="B281" s="445"/>
      <c r="C281" s="503">
        <f t="shared" ref="C281:K281" si="45">SUM(C282:C291)</f>
        <v>0</v>
      </c>
      <c r="D281" s="444">
        <f t="shared" si="45"/>
        <v>0</v>
      </c>
      <c r="E281" s="441">
        <f t="shared" si="45"/>
        <v>0</v>
      </c>
      <c r="F281" s="443">
        <f t="shared" si="45"/>
        <v>0</v>
      </c>
      <c r="G281" s="441">
        <f t="shared" si="45"/>
        <v>0</v>
      </c>
      <c r="H281" s="443">
        <f t="shared" si="45"/>
        <v>0</v>
      </c>
      <c r="I281" s="44">
        <f t="shared" si="40"/>
        <v>0</v>
      </c>
      <c r="J281" s="330" t="str">
        <f t="shared" si="41"/>
        <v/>
      </c>
      <c r="K281" s="442">
        <f t="shared" si="45"/>
        <v>0</v>
      </c>
      <c r="L281" s="48"/>
      <c r="M281" s="473"/>
      <c r="N281" s="473"/>
      <c r="O281" s="473"/>
      <c r="P281" s="473"/>
      <c r="Q281" s="473"/>
      <c r="R281" s="473"/>
      <c r="S281" s="473"/>
      <c r="T281" s="473"/>
      <c r="U281" s="473"/>
      <c r="V281" s="473"/>
      <c r="W281" s="473"/>
    </row>
    <row r="282" spans="1:23" ht="11.25" hidden="1" customHeight="1" x14ac:dyDescent="0.25">
      <c r="A282" s="407" t="str">
        <f>'Org structure'!E135</f>
        <v>13.1 - [Name of sub-vote]</v>
      </c>
      <c r="B282" s="445"/>
      <c r="C282" s="394"/>
      <c r="D282" s="383"/>
      <c r="E282" s="384"/>
      <c r="F282" s="472"/>
      <c r="G282" s="384"/>
      <c r="H282" s="472"/>
      <c r="I282" s="44">
        <f t="shared" si="40"/>
        <v>0</v>
      </c>
      <c r="J282" s="330" t="str">
        <f t="shared" si="41"/>
        <v/>
      </c>
      <c r="K282" s="395"/>
      <c r="L282" s="48"/>
      <c r="M282" s="473"/>
      <c r="N282" s="473"/>
      <c r="O282" s="473"/>
      <c r="P282" s="473"/>
      <c r="Q282" s="473"/>
      <c r="R282" s="473"/>
      <c r="S282" s="473"/>
      <c r="T282" s="473"/>
      <c r="U282" s="473"/>
      <c r="V282" s="473"/>
      <c r="W282" s="473"/>
    </row>
    <row r="283" spans="1:23" ht="11.25" hidden="1" customHeight="1" x14ac:dyDescent="0.25">
      <c r="A283" s="407">
        <f>'Org structure'!E136</f>
        <v>0</v>
      </c>
      <c r="B283" s="445"/>
      <c r="C283" s="394"/>
      <c r="D283" s="383"/>
      <c r="E283" s="384"/>
      <c r="F283" s="472"/>
      <c r="G283" s="384"/>
      <c r="H283" s="472"/>
      <c r="I283" s="44">
        <f t="shared" si="40"/>
        <v>0</v>
      </c>
      <c r="J283" s="330" t="str">
        <f t="shared" si="41"/>
        <v/>
      </c>
      <c r="K283" s="395"/>
      <c r="L283" s="48"/>
      <c r="M283" s="473"/>
      <c r="N283" s="473"/>
      <c r="O283" s="473"/>
      <c r="P283" s="473"/>
      <c r="Q283" s="473"/>
      <c r="R283" s="473"/>
      <c r="S283" s="473"/>
      <c r="T283" s="473"/>
      <c r="U283" s="473"/>
      <c r="V283" s="473"/>
      <c r="W283" s="473"/>
    </row>
    <row r="284" spans="1:23" ht="11.25" hidden="1" customHeight="1" x14ac:dyDescent="0.25">
      <c r="A284" s="407">
        <f>'Org structure'!E137</f>
        <v>0</v>
      </c>
      <c r="B284" s="445"/>
      <c r="C284" s="394"/>
      <c r="D284" s="383"/>
      <c r="E284" s="384"/>
      <c r="F284" s="472"/>
      <c r="G284" s="384"/>
      <c r="H284" s="472"/>
      <c r="I284" s="44">
        <f t="shared" si="40"/>
        <v>0</v>
      </c>
      <c r="J284" s="330" t="str">
        <f t="shared" si="41"/>
        <v/>
      </c>
      <c r="K284" s="395"/>
      <c r="L284" s="48"/>
      <c r="M284" s="473"/>
      <c r="N284" s="473"/>
      <c r="O284" s="473"/>
      <c r="P284" s="473"/>
      <c r="Q284" s="473"/>
      <c r="R284" s="473"/>
      <c r="S284" s="473"/>
      <c r="T284" s="473"/>
      <c r="U284" s="473"/>
      <c r="V284" s="473"/>
      <c r="W284" s="473"/>
    </row>
    <row r="285" spans="1:23" ht="11.25" hidden="1" customHeight="1" x14ac:dyDescent="0.25">
      <c r="A285" s="407">
        <f>'Org structure'!E138</f>
        <v>0</v>
      </c>
      <c r="B285" s="445"/>
      <c r="C285" s="394"/>
      <c r="D285" s="383"/>
      <c r="E285" s="384"/>
      <c r="F285" s="472"/>
      <c r="G285" s="384"/>
      <c r="H285" s="472"/>
      <c r="I285" s="44">
        <f t="shared" si="40"/>
        <v>0</v>
      </c>
      <c r="J285" s="330" t="str">
        <f t="shared" si="41"/>
        <v/>
      </c>
      <c r="K285" s="395"/>
      <c r="L285" s="48"/>
      <c r="M285" s="473"/>
      <c r="N285" s="473"/>
      <c r="O285" s="473"/>
      <c r="P285" s="473"/>
      <c r="Q285" s="473"/>
      <c r="R285" s="473"/>
      <c r="S285" s="473"/>
      <c r="T285" s="473"/>
      <c r="U285" s="473"/>
      <c r="V285" s="473"/>
      <c r="W285" s="473"/>
    </row>
    <row r="286" spans="1:23" ht="11.25" hidden="1" customHeight="1" x14ac:dyDescent="0.25">
      <c r="A286" s="407">
        <f>'Org structure'!E139</f>
        <v>0</v>
      </c>
      <c r="B286" s="445"/>
      <c r="C286" s="394"/>
      <c r="D286" s="383"/>
      <c r="E286" s="384"/>
      <c r="F286" s="472"/>
      <c r="G286" s="384"/>
      <c r="H286" s="472"/>
      <c r="I286" s="44">
        <f t="shared" si="40"/>
        <v>0</v>
      </c>
      <c r="J286" s="330" t="str">
        <f t="shared" si="41"/>
        <v/>
      </c>
      <c r="K286" s="395"/>
      <c r="L286" s="48"/>
      <c r="M286" s="473"/>
      <c r="N286" s="473"/>
      <c r="O286" s="473"/>
      <c r="P286" s="473"/>
      <c r="Q286" s="473"/>
      <c r="R286" s="473"/>
      <c r="S286" s="473"/>
      <c r="T286" s="473"/>
      <c r="U286" s="473"/>
      <c r="V286" s="473"/>
      <c r="W286" s="473"/>
    </row>
    <row r="287" spans="1:23" ht="11.25" hidden="1" customHeight="1" x14ac:dyDescent="0.25">
      <c r="A287" s="407">
        <f>'Org structure'!E140</f>
        <v>0</v>
      </c>
      <c r="B287" s="445"/>
      <c r="C287" s="394"/>
      <c r="D287" s="383"/>
      <c r="E287" s="384"/>
      <c r="F287" s="472"/>
      <c r="G287" s="384"/>
      <c r="H287" s="472"/>
      <c r="I287" s="44">
        <f t="shared" si="40"/>
        <v>0</v>
      </c>
      <c r="J287" s="330" t="str">
        <f t="shared" si="41"/>
        <v/>
      </c>
      <c r="K287" s="395"/>
      <c r="L287" s="48"/>
      <c r="M287" s="473"/>
      <c r="N287" s="473"/>
      <c r="O287" s="473"/>
      <c r="P287" s="473"/>
      <c r="Q287" s="473"/>
      <c r="R287" s="473"/>
      <c r="S287" s="473"/>
      <c r="T287" s="473"/>
      <c r="U287" s="473"/>
      <c r="V287" s="473"/>
      <c r="W287" s="473"/>
    </row>
    <row r="288" spans="1:23" ht="11.25" hidden="1" customHeight="1" x14ac:dyDescent="0.25">
      <c r="A288" s="407">
        <f>'Org structure'!E141</f>
        <v>0</v>
      </c>
      <c r="B288" s="445"/>
      <c r="C288" s="394"/>
      <c r="D288" s="383"/>
      <c r="E288" s="384"/>
      <c r="F288" s="472"/>
      <c r="G288" s="384"/>
      <c r="H288" s="472"/>
      <c r="I288" s="44">
        <f t="shared" si="40"/>
        <v>0</v>
      </c>
      <c r="J288" s="330" t="str">
        <f t="shared" si="41"/>
        <v/>
      </c>
      <c r="K288" s="395"/>
      <c r="L288" s="48"/>
      <c r="M288" s="473"/>
      <c r="N288" s="473"/>
      <c r="O288" s="473"/>
      <c r="P288" s="473"/>
      <c r="Q288" s="473"/>
      <c r="R288" s="473"/>
      <c r="S288" s="473"/>
      <c r="T288" s="473"/>
      <c r="U288" s="473"/>
      <c r="V288" s="473"/>
      <c r="W288" s="473"/>
    </row>
    <row r="289" spans="1:23" ht="11.25" hidden="1" customHeight="1" x14ac:dyDescent="0.25">
      <c r="A289" s="407">
        <f>'Org structure'!E142</f>
        <v>0</v>
      </c>
      <c r="B289" s="445"/>
      <c r="C289" s="394"/>
      <c r="D289" s="383"/>
      <c r="E289" s="384"/>
      <c r="F289" s="472"/>
      <c r="G289" s="384"/>
      <c r="H289" s="472"/>
      <c r="I289" s="44">
        <f t="shared" si="40"/>
        <v>0</v>
      </c>
      <c r="J289" s="330" t="str">
        <f t="shared" si="41"/>
        <v/>
      </c>
      <c r="K289" s="395"/>
      <c r="L289" s="48"/>
      <c r="M289" s="473"/>
      <c r="N289" s="473"/>
      <c r="O289" s="473"/>
      <c r="P289" s="473"/>
      <c r="Q289" s="473"/>
      <c r="R289" s="473"/>
      <c r="S289" s="473"/>
      <c r="T289" s="473"/>
      <c r="U289" s="473"/>
      <c r="V289" s="473"/>
      <c r="W289" s="473"/>
    </row>
    <row r="290" spans="1:23" ht="11.25" hidden="1" customHeight="1" x14ac:dyDescent="0.25">
      <c r="A290" s="407">
        <f>'Org structure'!E143</f>
        <v>0</v>
      </c>
      <c r="B290" s="445"/>
      <c r="C290" s="394"/>
      <c r="D290" s="383"/>
      <c r="E290" s="384"/>
      <c r="F290" s="472"/>
      <c r="G290" s="384"/>
      <c r="H290" s="472"/>
      <c r="I290" s="44">
        <f t="shared" si="40"/>
        <v>0</v>
      </c>
      <c r="J290" s="330" t="str">
        <f t="shared" si="41"/>
        <v/>
      </c>
      <c r="K290" s="395"/>
      <c r="L290" s="48"/>
      <c r="M290" s="473"/>
      <c r="N290" s="473"/>
      <c r="O290" s="473"/>
      <c r="P290" s="473"/>
      <c r="Q290" s="473"/>
      <c r="R290" s="473"/>
      <c r="S290" s="473"/>
      <c r="T290" s="473"/>
      <c r="U290" s="473"/>
      <c r="V290" s="473"/>
      <c r="W290" s="473"/>
    </row>
    <row r="291" spans="1:23" ht="11.25" hidden="1" customHeight="1" x14ac:dyDescent="0.25">
      <c r="A291" s="407">
        <f>'Org structure'!E144</f>
        <v>0</v>
      </c>
      <c r="B291" s="445"/>
      <c r="C291" s="394"/>
      <c r="D291" s="383"/>
      <c r="E291" s="384"/>
      <c r="F291" s="472"/>
      <c r="G291" s="384"/>
      <c r="H291" s="472"/>
      <c r="I291" s="44">
        <f t="shared" si="40"/>
        <v>0</v>
      </c>
      <c r="J291" s="330" t="str">
        <f t="shared" si="41"/>
        <v/>
      </c>
      <c r="K291" s="395"/>
      <c r="L291" s="48"/>
      <c r="M291" s="473"/>
      <c r="N291" s="473"/>
      <c r="O291" s="473"/>
      <c r="P291" s="473"/>
      <c r="Q291" s="473"/>
      <c r="R291" s="473"/>
      <c r="S291" s="473"/>
      <c r="T291" s="473"/>
      <c r="U291" s="473"/>
      <c r="V291" s="473"/>
      <c r="W291" s="473"/>
    </row>
    <row r="292" spans="1:23" ht="11.25" hidden="1" customHeight="1" x14ac:dyDescent="0.25">
      <c r="A292" s="466" t="str">
        <f>'Org structure'!A15</f>
        <v>Vote 14 - [NAME OF VOTE 14]</v>
      </c>
      <c r="B292" s="445"/>
      <c r="C292" s="503">
        <f t="shared" ref="C292:K292" si="46">SUM(C293:C302)</f>
        <v>0</v>
      </c>
      <c r="D292" s="444">
        <f t="shared" si="46"/>
        <v>0</v>
      </c>
      <c r="E292" s="441">
        <f t="shared" si="46"/>
        <v>0</v>
      </c>
      <c r="F292" s="443">
        <f t="shared" si="46"/>
        <v>0</v>
      </c>
      <c r="G292" s="441">
        <f t="shared" si="46"/>
        <v>0</v>
      </c>
      <c r="H292" s="443">
        <f t="shared" si="46"/>
        <v>0</v>
      </c>
      <c r="I292" s="44">
        <f t="shared" si="40"/>
        <v>0</v>
      </c>
      <c r="J292" s="330" t="str">
        <f t="shared" si="41"/>
        <v/>
      </c>
      <c r="K292" s="442">
        <f t="shared" si="46"/>
        <v>0</v>
      </c>
      <c r="L292" s="48"/>
      <c r="M292" s="473"/>
      <c r="N292" s="473"/>
      <c r="O292" s="473"/>
      <c r="P292" s="473"/>
      <c r="Q292" s="473"/>
      <c r="R292" s="473"/>
      <c r="S292" s="473"/>
      <c r="T292" s="473"/>
      <c r="U292" s="473"/>
      <c r="V292" s="473"/>
      <c r="W292" s="473"/>
    </row>
    <row r="293" spans="1:23" ht="11.25" hidden="1" customHeight="1" x14ac:dyDescent="0.25">
      <c r="A293" s="407" t="str">
        <f>'Org structure'!E146</f>
        <v>14.1 - [Name of sub-vote]</v>
      </c>
      <c r="B293" s="445"/>
      <c r="C293" s="394"/>
      <c r="D293" s="383"/>
      <c r="E293" s="384"/>
      <c r="F293" s="472"/>
      <c r="G293" s="384"/>
      <c r="H293" s="472"/>
      <c r="I293" s="44">
        <f t="shared" si="40"/>
        <v>0</v>
      </c>
      <c r="J293" s="330" t="str">
        <f t="shared" si="41"/>
        <v/>
      </c>
      <c r="K293" s="395"/>
      <c r="L293" s="48"/>
      <c r="M293" s="473"/>
      <c r="N293" s="473"/>
      <c r="O293" s="473"/>
      <c r="P293" s="473"/>
      <c r="Q293" s="473"/>
      <c r="R293" s="473"/>
      <c r="S293" s="473"/>
      <c r="T293" s="473"/>
      <c r="U293" s="473"/>
      <c r="V293" s="473"/>
      <c r="W293" s="473"/>
    </row>
    <row r="294" spans="1:23" ht="11.25" hidden="1" customHeight="1" x14ac:dyDescent="0.25">
      <c r="A294" s="407">
        <f>'Org structure'!E147</f>
        <v>0</v>
      </c>
      <c r="B294" s="445"/>
      <c r="C294" s="394"/>
      <c r="D294" s="383"/>
      <c r="E294" s="384"/>
      <c r="F294" s="472"/>
      <c r="G294" s="384"/>
      <c r="H294" s="472"/>
      <c r="I294" s="44">
        <f t="shared" si="40"/>
        <v>0</v>
      </c>
      <c r="J294" s="330" t="str">
        <f t="shared" si="41"/>
        <v/>
      </c>
      <c r="K294" s="395"/>
      <c r="L294" s="48"/>
      <c r="M294" s="473"/>
      <c r="N294" s="473"/>
      <c r="O294" s="473"/>
      <c r="P294" s="473"/>
      <c r="Q294" s="473"/>
      <c r="R294" s="473"/>
      <c r="S294" s="473"/>
      <c r="T294" s="473"/>
      <c r="U294" s="473"/>
      <c r="V294" s="473"/>
      <c r="W294" s="473"/>
    </row>
    <row r="295" spans="1:23" ht="11.25" hidden="1" customHeight="1" x14ac:dyDescent="0.25">
      <c r="A295" s="407">
        <f>'Org structure'!E148</f>
        <v>0</v>
      </c>
      <c r="B295" s="445"/>
      <c r="C295" s="394"/>
      <c r="D295" s="383"/>
      <c r="E295" s="384"/>
      <c r="F295" s="472"/>
      <c r="G295" s="384"/>
      <c r="H295" s="472"/>
      <c r="I295" s="44">
        <f t="shared" si="40"/>
        <v>0</v>
      </c>
      <c r="J295" s="330" t="str">
        <f t="shared" si="41"/>
        <v/>
      </c>
      <c r="K295" s="395"/>
      <c r="L295" s="48"/>
      <c r="M295" s="473"/>
      <c r="N295" s="473"/>
      <c r="O295" s="473"/>
      <c r="P295" s="473"/>
      <c r="Q295" s="473"/>
      <c r="R295" s="473"/>
      <c r="S295" s="473"/>
      <c r="T295" s="473"/>
      <c r="U295" s="473"/>
      <c r="V295" s="473"/>
      <c r="W295" s="473"/>
    </row>
    <row r="296" spans="1:23" ht="11.25" hidden="1" customHeight="1" x14ac:dyDescent="0.25">
      <c r="A296" s="407">
        <f>'Org structure'!E149</f>
        <v>0</v>
      </c>
      <c r="B296" s="445"/>
      <c r="C296" s="394"/>
      <c r="D296" s="383"/>
      <c r="E296" s="384"/>
      <c r="F296" s="472"/>
      <c r="G296" s="384"/>
      <c r="H296" s="472"/>
      <c r="I296" s="44">
        <f t="shared" si="40"/>
        <v>0</v>
      </c>
      <c r="J296" s="330" t="str">
        <f t="shared" si="41"/>
        <v/>
      </c>
      <c r="K296" s="395"/>
      <c r="L296" s="48"/>
      <c r="M296" s="473"/>
      <c r="N296" s="473"/>
      <c r="O296" s="473"/>
      <c r="P296" s="473"/>
      <c r="Q296" s="473"/>
      <c r="R296" s="473"/>
      <c r="S296" s="473"/>
      <c r="T296" s="473"/>
      <c r="U296" s="473"/>
      <c r="V296" s="473"/>
      <c r="W296" s="473"/>
    </row>
    <row r="297" spans="1:23" ht="11.25" hidden="1" customHeight="1" x14ac:dyDescent="0.25">
      <c r="A297" s="407">
        <f>'Org structure'!E150</f>
        <v>0</v>
      </c>
      <c r="B297" s="445"/>
      <c r="C297" s="394"/>
      <c r="D297" s="383"/>
      <c r="E297" s="384"/>
      <c r="F297" s="472"/>
      <c r="G297" s="384"/>
      <c r="H297" s="472"/>
      <c r="I297" s="44">
        <f t="shared" si="40"/>
        <v>0</v>
      </c>
      <c r="J297" s="330" t="str">
        <f t="shared" si="41"/>
        <v/>
      </c>
      <c r="K297" s="395"/>
      <c r="L297" s="48"/>
      <c r="M297" s="473"/>
      <c r="N297" s="473"/>
      <c r="O297" s="473"/>
      <c r="P297" s="473"/>
      <c r="Q297" s="473"/>
      <c r="R297" s="473"/>
      <c r="S297" s="473"/>
      <c r="T297" s="473"/>
      <c r="U297" s="473"/>
      <c r="V297" s="473"/>
      <c r="W297" s="473"/>
    </row>
    <row r="298" spans="1:23" ht="11.25" hidden="1" customHeight="1" x14ac:dyDescent="0.25">
      <c r="A298" s="407">
        <f>'Org structure'!E151</f>
        <v>0</v>
      </c>
      <c r="B298" s="445"/>
      <c r="C298" s="394"/>
      <c r="D298" s="383"/>
      <c r="E298" s="384"/>
      <c r="F298" s="472"/>
      <c r="G298" s="384"/>
      <c r="H298" s="472"/>
      <c r="I298" s="44">
        <f t="shared" si="40"/>
        <v>0</v>
      </c>
      <c r="J298" s="330" t="str">
        <f t="shared" si="41"/>
        <v/>
      </c>
      <c r="K298" s="395"/>
      <c r="L298" s="48"/>
      <c r="M298" s="473"/>
      <c r="N298" s="473"/>
      <c r="O298" s="473"/>
      <c r="P298" s="473"/>
      <c r="Q298" s="473"/>
      <c r="R298" s="473"/>
      <c r="S298" s="473"/>
      <c r="T298" s="473"/>
      <c r="U298" s="473"/>
      <c r="V298" s="473"/>
      <c r="W298" s="473"/>
    </row>
    <row r="299" spans="1:23" ht="11.25" hidden="1" customHeight="1" x14ac:dyDescent="0.25">
      <c r="A299" s="407">
        <f>'Org structure'!E152</f>
        <v>0</v>
      </c>
      <c r="B299" s="445"/>
      <c r="C299" s="394"/>
      <c r="D299" s="383"/>
      <c r="E299" s="384"/>
      <c r="F299" s="472"/>
      <c r="G299" s="384"/>
      <c r="H299" s="472"/>
      <c r="I299" s="44">
        <f t="shared" si="40"/>
        <v>0</v>
      </c>
      <c r="J299" s="330" t="str">
        <f t="shared" si="41"/>
        <v/>
      </c>
      <c r="K299" s="395"/>
      <c r="L299" s="48"/>
      <c r="M299" s="473"/>
      <c r="N299" s="473"/>
      <c r="O299" s="473"/>
      <c r="P299" s="473"/>
      <c r="Q299" s="473"/>
      <c r="R299" s="473"/>
      <c r="S299" s="473"/>
      <c r="T299" s="473"/>
      <c r="U299" s="473"/>
      <c r="V299" s="473"/>
      <c r="W299" s="473"/>
    </row>
    <row r="300" spans="1:23" ht="11.25" hidden="1" customHeight="1" x14ac:dyDescent="0.25">
      <c r="A300" s="407">
        <f>'Org structure'!E153</f>
        <v>0</v>
      </c>
      <c r="B300" s="445"/>
      <c r="C300" s="394"/>
      <c r="D300" s="383"/>
      <c r="E300" s="384"/>
      <c r="F300" s="472"/>
      <c r="G300" s="384"/>
      <c r="H300" s="472"/>
      <c r="I300" s="44">
        <f t="shared" si="40"/>
        <v>0</v>
      </c>
      <c r="J300" s="330" t="str">
        <f t="shared" si="41"/>
        <v/>
      </c>
      <c r="K300" s="395"/>
      <c r="L300" s="48"/>
      <c r="M300" s="473"/>
      <c r="N300" s="473"/>
      <c r="O300" s="473"/>
      <c r="P300" s="473"/>
      <c r="Q300" s="473"/>
      <c r="R300" s="473"/>
      <c r="S300" s="473"/>
      <c r="T300" s="473"/>
      <c r="U300" s="473"/>
      <c r="V300" s="473"/>
      <c r="W300" s="473"/>
    </row>
    <row r="301" spans="1:23" ht="11.25" hidden="1" customHeight="1" x14ac:dyDescent="0.25">
      <c r="A301" s="407">
        <f>'Org structure'!E154</f>
        <v>0</v>
      </c>
      <c r="B301" s="445"/>
      <c r="C301" s="394"/>
      <c r="D301" s="383"/>
      <c r="E301" s="384"/>
      <c r="F301" s="472"/>
      <c r="G301" s="384"/>
      <c r="H301" s="472"/>
      <c r="I301" s="44">
        <f t="shared" ref="I301:I316" si="47">G301-H301</f>
        <v>0</v>
      </c>
      <c r="J301" s="330" t="str">
        <f t="shared" ref="J301:J316" si="48">IF(I301=0,"",I301/H301)</f>
        <v/>
      </c>
      <c r="K301" s="395"/>
      <c r="L301" s="48"/>
      <c r="M301" s="473"/>
      <c r="N301" s="473"/>
      <c r="O301" s="473"/>
      <c r="P301" s="473"/>
      <c r="Q301" s="473"/>
      <c r="R301" s="473"/>
      <c r="S301" s="473"/>
      <c r="T301" s="473"/>
      <c r="U301" s="473"/>
      <c r="V301" s="473"/>
      <c r="W301" s="473"/>
    </row>
    <row r="302" spans="1:23" ht="11.25" hidden="1" customHeight="1" x14ac:dyDescent="0.25">
      <c r="A302" s="407">
        <f>'Org structure'!E155</f>
        <v>0</v>
      </c>
      <c r="B302" s="445"/>
      <c r="C302" s="394"/>
      <c r="D302" s="383"/>
      <c r="E302" s="384"/>
      <c r="F302" s="472"/>
      <c r="G302" s="384"/>
      <c r="H302" s="472"/>
      <c r="I302" s="44">
        <f t="shared" si="47"/>
        <v>0</v>
      </c>
      <c r="J302" s="330" t="str">
        <f t="shared" si="48"/>
        <v/>
      </c>
      <c r="K302" s="395"/>
      <c r="L302" s="48"/>
      <c r="M302" s="473"/>
      <c r="N302" s="473"/>
      <c r="O302" s="473"/>
      <c r="P302" s="473"/>
      <c r="Q302" s="473"/>
      <c r="R302" s="473"/>
      <c r="S302" s="473"/>
      <c r="T302" s="473"/>
      <c r="U302" s="473"/>
      <c r="V302" s="473"/>
      <c r="W302" s="473"/>
    </row>
    <row r="303" spans="1:23" ht="11.25" hidden="1" customHeight="1" x14ac:dyDescent="0.25">
      <c r="A303" s="466" t="str">
        <f>'Org structure'!A16</f>
        <v>Vote 15 - [NAME OF VOTE 15]</v>
      </c>
      <c r="B303" s="445"/>
      <c r="C303" s="503">
        <f t="shared" ref="C303:K303" si="49">SUM(C304:C313)</f>
        <v>0</v>
      </c>
      <c r="D303" s="444">
        <f t="shared" si="49"/>
        <v>0</v>
      </c>
      <c r="E303" s="441">
        <f t="shared" si="49"/>
        <v>0</v>
      </c>
      <c r="F303" s="443">
        <f t="shared" si="49"/>
        <v>0</v>
      </c>
      <c r="G303" s="441">
        <f t="shared" si="49"/>
        <v>0</v>
      </c>
      <c r="H303" s="443">
        <f t="shared" si="49"/>
        <v>0</v>
      </c>
      <c r="I303" s="44">
        <f t="shared" si="47"/>
        <v>0</v>
      </c>
      <c r="J303" s="330" t="str">
        <f t="shared" si="48"/>
        <v/>
      </c>
      <c r="K303" s="442">
        <f t="shared" si="49"/>
        <v>0</v>
      </c>
      <c r="L303" s="48"/>
      <c r="M303" s="473"/>
      <c r="N303" s="473"/>
      <c r="O303" s="473"/>
      <c r="P303" s="473"/>
      <c r="Q303" s="473"/>
      <c r="R303" s="473"/>
      <c r="S303" s="473"/>
      <c r="T303" s="473"/>
      <c r="U303" s="473"/>
      <c r="V303" s="473"/>
      <c r="W303" s="473"/>
    </row>
    <row r="304" spans="1:23" ht="11.25" hidden="1" customHeight="1" x14ac:dyDescent="0.25">
      <c r="A304" s="407" t="str">
        <f>'Org structure'!E157</f>
        <v>15.1 - [Name of sub-vote]</v>
      </c>
      <c r="B304" s="445"/>
      <c r="C304" s="394"/>
      <c r="D304" s="383"/>
      <c r="E304" s="384"/>
      <c r="F304" s="472"/>
      <c r="G304" s="384"/>
      <c r="H304" s="472"/>
      <c r="I304" s="44">
        <f t="shared" si="47"/>
        <v>0</v>
      </c>
      <c r="J304" s="330" t="str">
        <f t="shared" si="48"/>
        <v/>
      </c>
      <c r="K304" s="395"/>
      <c r="L304" s="48"/>
      <c r="M304" s="473"/>
      <c r="N304" s="473"/>
      <c r="O304" s="473"/>
      <c r="P304" s="473"/>
      <c r="Q304" s="473"/>
      <c r="R304" s="473"/>
      <c r="S304" s="473"/>
      <c r="T304" s="473"/>
      <c r="U304" s="473"/>
      <c r="V304" s="473"/>
      <c r="W304" s="473"/>
    </row>
    <row r="305" spans="1:23" ht="11.25" hidden="1" customHeight="1" x14ac:dyDescent="0.25">
      <c r="A305" s="407">
        <f>'Org structure'!E158</f>
        <v>0</v>
      </c>
      <c r="B305" s="445"/>
      <c r="C305" s="394"/>
      <c r="D305" s="383"/>
      <c r="E305" s="384"/>
      <c r="F305" s="472"/>
      <c r="G305" s="384"/>
      <c r="H305" s="472"/>
      <c r="I305" s="44">
        <f t="shared" si="47"/>
        <v>0</v>
      </c>
      <c r="J305" s="330" t="str">
        <f t="shared" si="48"/>
        <v/>
      </c>
      <c r="K305" s="395"/>
      <c r="L305" s="48"/>
      <c r="M305" s="473"/>
      <c r="N305" s="473"/>
      <c r="O305" s="473"/>
      <c r="P305" s="473"/>
      <c r="Q305" s="473"/>
      <c r="R305" s="473"/>
      <c r="S305" s="473"/>
      <c r="T305" s="473"/>
      <c r="U305" s="473"/>
      <c r="V305" s="473"/>
      <c r="W305" s="473"/>
    </row>
    <row r="306" spans="1:23" ht="11.25" hidden="1" customHeight="1" x14ac:dyDescent="0.25">
      <c r="A306" s="407">
        <f>'Org structure'!E159</f>
        <v>0</v>
      </c>
      <c r="B306" s="445"/>
      <c r="C306" s="394"/>
      <c r="D306" s="383"/>
      <c r="E306" s="384"/>
      <c r="F306" s="472"/>
      <c r="G306" s="384"/>
      <c r="H306" s="472"/>
      <c r="I306" s="44">
        <f t="shared" si="47"/>
        <v>0</v>
      </c>
      <c r="J306" s="330" t="str">
        <f t="shared" si="48"/>
        <v/>
      </c>
      <c r="K306" s="395"/>
      <c r="L306" s="48"/>
      <c r="M306" s="473"/>
      <c r="N306" s="473"/>
      <c r="O306" s="473"/>
      <c r="P306" s="473"/>
      <c r="Q306" s="473"/>
      <c r="R306" s="473"/>
      <c r="S306" s="473"/>
      <c r="T306" s="473"/>
      <c r="U306" s="473"/>
      <c r="V306" s="473"/>
      <c r="W306" s="473"/>
    </row>
    <row r="307" spans="1:23" ht="11.25" hidden="1" customHeight="1" x14ac:dyDescent="0.25">
      <c r="A307" s="407">
        <f>'Org structure'!E160</f>
        <v>0</v>
      </c>
      <c r="B307" s="445"/>
      <c r="C307" s="394"/>
      <c r="D307" s="383"/>
      <c r="E307" s="384"/>
      <c r="F307" s="472"/>
      <c r="G307" s="384"/>
      <c r="H307" s="472"/>
      <c r="I307" s="44">
        <f t="shared" si="47"/>
        <v>0</v>
      </c>
      <c r="J307" s="330" t="str">
        <f t="shared" si="48"/>
        <v/>
      </c>
      <c r="K307" s="395"/>
      <c r="L307" s="48"/>
      <c r="M307" s="473"/>
      <c r="N307" s="473"/>
      <c r="O307" s="473"/>
      <c r="P307" s="473"/>
      <c r="Q307" s="473"/>
      <c r="R307" s="473"/>
      <c r="S307" s="473"/>
      <c r="T307" s="473"/>
      <c r="U307" s="473"/>
      <c r="V307" s="473"/>
      <c r="W307" s="473"/>
    </row>
    <row r="308" spans="1:23" ht="11.25" hidden="1" customHeight="1" x14ac:dyDescent="0.25">
      <c r="A308" s="407">
        <f>'Org structure'!E161</f>
        <v>0</v>
      </c>
      <c r="B308" s="445"/>
      <c r="C308" s="394"/>
      <c r="D308" s="383"/>
      <c r="E308" s="384"/>
      <c r="F308" s="472"/>
      <c r="G308" s="384"/>
      <c r="H308" s="472"/>
      <c r="I308" s="44">
        <f t="shared" si="47"/>
        <v>0</v>
      </c>
      <c r="J308" s="330" t="str">
        <f t="shared" si="48"/>
        <v/>
      </c>
      <c r="K308" s="395"/>
      <c r="L308" s="48"/>
      <c r="M308" s="473"/>
      <c r="N308" s="473"/>
      <c r="O308" s="473"/>
      <c r="P308" s="473"/>
      <c r="Q308" s="473"/>
      <c r="R308" s="473"/>
      <c r="S308" s="473"/>
      <c r="T308" s="473"/>
      <c r="U308" s="473"/>
      <c r="V308" s="473"/>
      <c r="W308" s="473"/>
    </row>
    <row r="309" spans="1:23" ht="11.25" hidden="1" customHeight="1" x14ac:dyDescent="0.25">
      <c r="A309" s="407">
        <f>'Org structure'!E162</f>
        <v>0</v>
      </c>
      <c r="B309" s="445"/>
      <c r="C309" s="394"/>
      <c r="D309" s="383"/>
      <c r="E309" s="384"/>
      <c r="F309" s="472"/>
      <c r="G309" s="384"/>
      <c r="H309" s="472"/>
      <c r="I309" s="44">
        <f t="shared" si="47"/>
        <v>0</v>
      </c>
      <c r="J309" s="330" t="str">
        <f t="shared" si="48"/>
        <v/>
      </c>
      <c r="K309" s="395"/>
      <c r="L309" s="48"/>
      <c r="M309" s="473"/>
      <c r="N309" s="473"/>
      <c r="O309" s="473"/>
      <c r="P309" s="473"/>
      <c r="Q309" s="473"/>
      <c r="R309" s="473"/>
      <c r="S309" s="473"/>
      <c r="T309" s="473"/>
      <c r="U309" s="473"/>
      <c r="V309" s="473"/>
      <c r="W309" s="473"/>
    </row>
    <row r="310" spans="1:23" ht="11.25" hidden="1" customHeight="1" x14ac:dyDescent="0.25">
      <c r="A310" s="407">
        <f>'Org structure'!E163</f>
        <v>0</v>
      </c>
      <c r="B310" s="445"/>
      <c r="C310" s="394"/>
      <c r="D310" s="383"/>
      <c r="E310" s="384"/>
      <c r="F310" s="472"/>
      <c r="G310" s="384"/>
      <c r="H310" s="472"/>
      <c r="I310" s="44">
        <f t="shared" si="47"/>
        <v>0</v>
      </c>
      <c r="J310" s="330" t="str">
        <f t="shared" si="48"/>
        <v/>
      </c>
      <c r="K310" s="395"/>
      <c r="L310" s="48"/>
      <c r="M310" s="473"/>
      <c r="N310" s="473"/>
      <c r="O310" s="473"/>
      <c r="P310" s="473"/>
      <c r="Q310" s="473"/>
      <c r="R310" s="473"/>
      <c r="S310" s="473"/>
      <c r="T310" s="473"/>
      <c r="U310" s="473"/>
      <c r="V310" s="473"/>
      <c r="W310" s="473"/>
    </row>
    <row r="311" spans="1:23" ht="11.25" hidden="1" customHeight="1" x14ac:dyDescent="0.25">
      <c r="A311" s="407">
        <f>'Org structure'!E164</f>
        <v>0</v>
      </c>
      <c r="B311" s="445"/>
      <c r="C311" s="394"/>
      <c r="D311" s="383"/>
      <c r="E311" s="384"/>
      <c r="F311" s="472"/>
      <c r="G311" s="384"/>
      <c r="H311" s="472"/>
      <c r="I311" s="44">
        <f t="shared" si="47"/>
        <v>0</v>
      </c>
      <c r="J311" s="330" t="str">
        <f t="shared" si="48"/>
        <v/>
      </c>
      <c r="K311" s="395"/>
      <c r="L311" s="48"/>
      <c r="M311" s="473"/>
      <c r="N311" s="473"/>
      <c r="O311" s="473"/>
      <c r="P311" s="473"/>
      <c r="Q311" s="473"/>
      <c r="R311" s="473"/>
      <c r="S311" s="473"/>
      <c r="T311" s="473"/>
      <c r="U311" s="473"/>
      <c r="V311" s="473"/>
      <c r="W311" s="473"/>
    </row>
    <row r="312" spans="1:23" ht="11.25" hidden="1" customHeight="1" x14ac:dyDescent="0.25">
      <c r="A312" s="407">
        <f>'Org structure'!E165</f>
        <v>0</v>
      </c>
      <c r="B312" s="445"/>
      <c r="C312" s="394"/>
      <c r="D312" s="383"/>
      <c r="E312" s="384"/>
      <c r="F312" s="472"/>
      <c r="G312" s="384"/>
      <c r="H312" s="472"/>
      <c r="I312" s="44">
        <f t="shared" si="47"/>
        <v>0</v>
      </c>
      <c r="J312" s="330" t="str">
        <f t="shared" si="48"/>
        <v/>
      </c>
      <c r="K312" s="395"/>
      <c r="L312" s="48"/>
      <c r="M312" s="473"/>
      <c r="N312" s="473"/>
      <c r="O312" s="473"/>
      <c r="P312" s="473"/>
      <c r="Q312" s="473"/>
      <c r="R312" s="473"/>
      <c r="S312" s="473"/>
      <c r="T312" s="473"/>
      <c r="U312" s="473"/>
      <c r="V312" s="473"/>
      <c r="W312" s="473"/>
    </row>
    <row r="313" spans="1:23" ht="11.25" hidden="1" customHeight="1" x14ac:dyDescent="0.25">
      <c r="A313" s="407">
        <f>'Org structure'!E166</f>
        <v>0</v>
      </c>
      <c r="B313" s="445"/>
      <c r="C313" s="394"/>
      <c r="D313" s="383"/>
      <c r="E313" s="384"/>
      <c r="F313" s="472"/>
      <c r="G313" s="384"/>
      <c r="H313" s="472"/>
      <c r="I313" s="44">
        <f t="shared" si="47"/>
        <v>0</v>
      </c>
      <c r="J313" s="330" t="str">
        <f t="shared" si="48"/>
        <v/>
      </c>
      <c r="K313" s="395"/>
      <c r="L313" s="452">
        <f t="shared" ref="L313:W313" si="50">SUM(L148:L224)</f>
        <v>0</v>
      </c>
      <c r="M313" s="453">
        <f t="shared" si="50"/>
        <v>0</v>
      </c>
      <c r="N313" s="453">
        <f t="shared" si="50"/>
        <v>0</v>
      </c>
      <c r="O313" s="453">
        <f t="shared" si="50"/>
        <v>0</v>
      </c>
      <c r="P313" s="453">
        <f t="shared" si="50"/>
        <v>0</v>
      </c>
      <c r="Q313" s="453">
        <f t="shared" si="50"/>
        <v>0</v>
      </c>
      <c r="R313" s="453">
        <f t="shared" si="50"/>
        <v>0</v>
      </c>
      <c r="S313" s="453">
        <f t="shared" si="50"/>
        <v>0</v>
      </c>
      <c r="T313" s="453">
        <f t="shared" si="50"/>
        <v>0</v>
      </c>
      <c r="U313" s="453">
        <f t="shared" si="50"/>
        <v>0</v>
      </c>
      <c r="V313" s="453">
        <f t="shared" si="50"/>
        <v>0</v>
      </c>
      <c r="W313" s="453">
        <f t="shared" si="50"/>
        <v>0</v>
      </c>
    </row>
    <row r="314" spans="1:23" ht="12.75" customHeight="1" x14ac:dyDescent="0.25">
      <c r="A314" s="711" t="s">
        <v>799</v>
      </c>
      <c r="B314" s="712"/>
      <c r="C314" s="508">
        <f>C149+C160+C171+C182+C193+C204+C215+C226+C237+C259+C270+C281+C292+C303+C248</f>
        <v>0</v>
      </c>
      <c r="D314" s="475">
        <f t="shared" ref="D314:K314" si="51">D149+D160+D171+D182+D193+D204+D215+D226+D237+D259+D270+D281+D292+D303+D248</f>
        <v>71724000</v>
      </c>
      <c r="E314" s="430">
        <f t="shared" si="51"/>
        <v>112824000</v>
      </c>
      <c r="F314" s="474">
        <f t="shared" si="51"/>
        <v>974577.73</v>
      </c>
      <c r="G314" s="430">
        <f t="shared" si="51"/>
        <v>13385440.289999982</v>
      </c>
      <c r="H314" s="474">
        <f t="shared" si="51"/>
        <v>56412000</v>
      </c>
      <c r="I314" s="430">
        <f t="shared" si="47"/>
        <v>-43026559.710000016</v>
      </c>
      <c r="J314" s="430">
        <f t="shared" si="48"/>
        <v>-0.76271998351414616</v>
      </c>
      <c r="K314" s="513">
        <f t="shared" si="51"/>
        <v>112824000</v>
      </c>
      <c r="L314" s="476"/>
      <c r="M314" s="52"/>
      <c r="N314" s="52"/>
      <c r="O314" s="52"/>
      <c r="P314" s="52"/>
      <c r="Q314" s="52"/>
      <c r="R314" s="52"/>
      <c r="S314" s="52"/>
      <c r="T314" s="52"/>
      <c r="U314" s="52"/>
      <c r="V314" s="52"/>
      <c r="W314" s="52"/>
    </row>
    <row r="315" spans="1:23" ht="4.5" customHeight="1" thickBot="1" x14ac:dyDescent="0.3">
      <c r="A315" s="42"/>
      <c r="B315" s="445"/>
      <c r="C315" s="110"/>
      <c r="D315" s="51"/>
      <c r="E315" s="50"/>
      <c r="F315" s="49"/>
      <c r="G315" s="50"/>
      <c r="H315" s="49"/>
      <c r="I315" s="50">
        <f t="shared" si="47"/>
        <v>0</v>
      </c>
      <c r="J315" s="50" t="str">
        <f t="shared" si="48"/>
        <v/>
      </c>
      <c r="K315" s="194"/>
      <c r="L315" s="480">
        <f t="shared" ref="L315:W315" si="52">L144-L313</f>
        <v>0</v>
      </c>
      <c r="M315" s="481">
        <f t="shared" si="52"/>
        <v>0</v>
      </c>
      <c r="N315" s="481">
        <f t="shared" si="52"/>
        <v>0</v>
      </c>
      <c r="O315" s="481">
        <f t="shared" si="52"/>
        <v>0</v>
      </c>
      <c r="P315" s="481">
        <f t="shared" si="52"/>
        <v>0</v>
      </c>
      <c r="Q315" s="481">
        <f t="shared" si="52"/>
        <v>0</v>
      </c>
      <c r="R315" s="481">
        <f t="shared" si="52"/>
        <v>0</v>
      </c>
      <c r="S315" s="481">
        <f t="shared" si="52"/>
        <v>0</v>
      </c>
      <c r="T315" s="481">
        <f t="shared" si="52"/>
        <v>0</v>
      </c>
      <c r="U315" s="481">
        <f t="shared" si="52"/>
        <v>0</v>
      </c>
      <c r="V315" s="481">
        <f t="shared" si="52"/>
        <v>0</v>
      </c>
      <c r="W315" s="481">
        <f t="shared" si="52"/>
        <v>0</v>
      </c>
    </row>
    <row r="316" spans="1:23" s="486" customFormat="1" ht="13.5" customHeight="1" thickTop="1" x14ac:dyDescent="0.25">
      <c r="A316" s="53" t="s">
        <v>761</v>
      </c>
      <c r="B316" s="477"/>
      <c r="C316" s="509">
        <f>C145+C314</f>
        <v>0</v>
      </c>
      <c r="D316" s="512">
        <f t="shared" ref="D316:K316" si="53">D145+D314</f>
        <v>580891581</v>
      </c>
      <c r="E316" s="55">
        <f t="shared" si="53"/>
        <v>621991581</v>
      </c>
      <c r="F316" s="479">
        <f t="shared" si="53"/>
        <v>66421825.969999991</v>
      </c>
      <c r="G316" s="55">
        <f t="shared" si="53"/>
        <v>246936010.84999999</v>
      </c>
      <c r="H316" s="479">
        <f t="shared" si="53"/>
        <v>310995790.5</v>
      </c>
      <c r="I316" s="55">
        <f t="shared" si="47"/>
        <v>-64059779.650000006</v>
      </c>
      <c r="J316" s="55">
        <f t="shared" si="48"/>
        <v>-0.20598278692778643</v>
      </c>
      <c r="K316" s="235">
        <f t="shared" si="53"/>
        <v>621991581</v>
      </c>
    </row>
    <row r="317" spans="1:23" s="486" customFormat="1" ht="11.25" customHeight="1" x14ac:dyDescent="0.25">
      <c r="A317" s="482" t="str">
        <f>head27a</f>
        <v>References</v>
      </c>
      <c r="B317" s="483"/>
      <c r="C317" s="484"/>
      <c r="D317" s="485"/>
      <c r="E317" s="485"/>
      <c r="F317" s="485"/>
      <c r="G317" s="485"/>
      <c r="H317" s="485"/>
      <c r="I317" s="485"/>
      <c r="J317" s="485"/>
      <c r="K317" s="485"/>
    </row>
    <row r="318" spans="1:23" s="486" customFormat="1" ht="11.25" customHeight="1" x14ac:dyDescent="0.25">
      <c r="A318" s="487" t="s">
        <v>121</v>
      </c>
      <c r="B318" s="483"/>
      <c r="C318" s="488"/>
      <c r="D318" s="488"/>
      <c r="E318" s="489"/>
      <c r="F318" s="489"/>
      <c r="G318" s="489"/>
      <c r="H318" s="489"/>
      <c r="I318" s="489"/>
      <c r="J318" s="489"/>
      <c r="K318" s="489"/>
    </row>
    <row r="319" spans="1:23" s="486" customFormat="1" ht="11.25" customHeight="1" x14ac:dyDescent="0.25">
      <c r="A319" s="490"/>
      <c r="B319" s="483"/>
      <c r="C319" s="488"/>
      <c r="D319" s="488"/>
      <c r="E319" s="489"/>
      <c r="F319" s="489"/>
      <c r="G319" s="489"/>
      <c r="H319" s="489"/>
      <c r="I319" s="489"/>
      <c r="J319" s="489"/>
      <c r="K319" s="489"/>
    </row>
    <row r="320" spans="1:23" ht="11.25" customHeight="1" x14ac:dyDescent="0.25">
      <c r="A320" s="490"/>
      <c r="B320" s="491"/>
      <c r="C320" s="492"/>
      <c r="D320" s="492"/>
      <c r="E320" s="493"/>
      <c r="F320" s="493"/>
      <c r="G320" s="493"/>
      <c r="H320" s="493"/>
      <c r="I320" s="493"/>
      <c r="J320" s="493"/>
      <c r="K320" s="493"/>
    </row>
    <row r="321" spans="1:24" ht="11.25" customHeight="1" x14ac:dyDescent="0.25">
      <c r="A321" s="67"/>
    </row>
    <row r="322" spans="1:24" ht="11.25" customHeight="1" x14ac:dyDescent="0.25">
      <c r="A322" s="699"/>
      <c r="B322" s="678"/>
      <c r="C322" s="679"/>
      <c r="D322" s="679"/>
      <c r="E322" s="679"/>
      <c r="F322" s="679"/>
      <c r="G322" s="679"/>
      <c r="H322" s="679"/>
      <c r="I322" s="679"/>
      <c r="J322" s="679"/>
      <c r="K322" s="679"/>
      <c r="L322" s="100"/>
      <c r="M322" s="100"/>
      <c r="N322" s="100"/>
      <c r="O322" s="100"/>
      <c r="P322" s="100"/>
      <c r="Q322" s="100"/>
      <c r="R322" s="100"/>
      <c r="S322" s="100"/>
      <c r="T322" s="100"/>
      <c r="U322" s="100"/>
      <c r="V322" s="100"/>
      <c r="W322" s="100"/>
      <c r="X322" s="100"/>
    </row>
    <row r="323" spans="1:24" ht="11.25" customHeight="1" x14ac:dyDescent="0.25">
      <c r="A323" s="699"/>
      <c r="B323" s="678"/>
      <c r="C323" s="679"/>
      <c r="D323" s="679"/>
      <c r="E323" s="679"/>
      <c r="F323" s="679"/>
      <c r="G323" s="679"/>
      <c r="H323" s="679"/>
      <c r="I323" s="679"/>
      <c r="J323" s="679"/>
      <c r="K323" s="679"/>
      <c r="L323" s="100"/>
      <c r="M323" s="100"/>
      <c r="N323" s="100"/>
      <c r="O323" s="100"/>
      <c r="P323" s="100"/>
      <c r="Q323" s="100"/>
      <c r="R323" s="100"/>
      <c r="S323" s="100"/>
      <c r="T323" s="100"/>
      <c r="U323" s="100"/>
      <c r="V323" s="100"/>
      <c r="W323" s="100"/>
      <c r="X323" s="100"/>
    </row>
    <row r="324" spans="1:24" ht="11.25" customHeight="1" x14ac:dyDescent="0.25">
      <c r="A324" s="67"/>
    </row>
    <row r="325" spans="1:24" ht="11.25" customHeight="1" x14ac:dyDescent="0.25">
      <c r="A325" s="67"/>
    </row>
    <row r="326" spans="1:24" ht="11.25" customHeight="1" x14ac:dyDescent="0.25">
      <c r="A326" s="67"/>
    </row>
    <row r="327" spans="1:24" ht="11.25" customHeight="1" x14ac:dyDescent="0.25"/>
    <row r="328" spans="1:24" ht="11.25" customHeight="1" x14ac:dyDescent="0.25"/>
    <row r="329" spans="1:24" ht="11.25" customHeight="1" x14ac:dyDescent="0.25"/>
    <row r="330" spans="1:24" ht="11.25" customHeight="1" x14ac:dyDescent="0.25"/>
    <row r="331" spans="1:24" ht="11.25" customHeight="1" x14ac:dyDescent="0.25"/>
    <row r="332" spans="1:24" ht="11.25" customHeight="1" x14ac:dyDescent="0.25"/>
    <row r="333" spans="1:24" ht="11.25" customHeight="1" x14ac:dyDescent="0.25"/>
    <row r="334" spans="1:24" ht="11.25" customHeight="1" x14ac:dyDescent="0.25"/>
    <row r="335" spans="1:24" ht="11.25" customHeight="1" x14ac:dyDescent="0.25"/>
    <row r="336" spans="1:24" ht="11.25" customHeight="1" x14ac:dyDescent="0.25"/>
    <row r="337" ht="11.25" customHeight="1" x14ac:dyDescent="0.25"/>
    <row r="338" ht="11.25" customHeight="1" x14ac:dyDescent="0.25"/>
    <row r="339" ht="11.25" customHeight="1" x14ac:dyDescent="0.25"/>
    <row r="340" ht="11.25" customHeight="1" x14ac:dyDescent="0.25"/>
    <row r="341" ht="11.25" customHeight="1" x14ac:dyDescent="0.25"/>
    <row r="342" ht="11.25" customHeight="1" x14ac:dyDescent="0.25"/>
    <row r="343" ht="11.25" customHeight="1" x14ac:dyDescent="0.25"/>
    <row r="344" ht="11.25" customHeight="1" x14ac:dyDescent="0.25"/>
    <row r="345" ht="11.25" customHeight="1" x14ac:dyDescent="0.25"/>
    <row r="346" ht="11.25" customHeight="1" x14ac:dyDescent="0.25"/>
    <row r="347" ht="11.25" customHeight="1" x14ac:dyDescent="0.25"/>
    <row r="348" ht="11.25" customHeight="1" x14ac:dyDescent="0.25"/>
    <row r="349" ht="11.25" customHeight="1" x14ac:dyDescent="0.25"/>
    <row r="350" ht="11.25" customHeight="1" x14ac:dyDescent="0.25"/>
    <row r="351" ht="11.25" customHeight="1" x14ac:dyDescent="0.25"/>
    <row r="352" ht="11.25" customHeight="1" x14ac:dyDescent="0.25"/>
    <row r="353" ht="11.25" customHeight="1" x14ac:dyDescent="0.25"/>
    <row r="354" ht="11.25" customHeight="1" x14ac:dyDescent="0.25"/>
  </sheetData>
  <mergeCells count="3">
    <mergeCell ref="D2:K2"/>
    <mergeCell ref="L2:W2"/>
    <mergeCell ref="A1:K1"/>
  </mergeCells>
  <phoneticPr fontId="2"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4"/>
    <pageSetUpPr fitToPage="1"/>
  </sheetPr>
  <dimension ref="A1:H89"/>
  <sheetViews>
    <sheetView showGridLines="0" zoomScaleNormal="100" workbookViewId="0">
      <pane xSplit="2" ySplit="4" topLeftCell="C44" activePane="bottomRight" state="frozen"/>
      <selection pane="topRight"/>
      <selection pane="bottomLeft"/>
      <selection pane="bottomRight" activeCell="M53" sqref="M53"/>
    </sheetView>
  </sheetViews>
  <sheetFormatPr defaultColWidth="9.140625" defaultRowHeight="12.75" x14ac:dyDescent="0.25"/>
  <cols>
    <col min="1" max="1" width="35.7109375" style="25" customWidth="1"/>
    <col min="2" max="2" width="3.140625" style="68" customWidth="1"/>
    <col min="3" max="7" width="8.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8" x14ac:dyDescent="0.25">
      <c r="A1" s="1057" t="str">
        <f>muni&amp; " - "&amp;S71E&amp; " - "&amp;date</f>
        <v>KZN225 Msunduzi - Table C6 Consolidated Monthly Budget Statement - Financial Position  - Mid-Year Assessment</v>
      </c>
      <c r="B1" s="1057"/>
      <c r="C1" s="1057"/>
      <c r="D1" s="1057"/>
      <c r="E1" s="1057"/>
      <c r="F1" s="1057"/>
      <c r="G1" s="1057"/>
    </row>
    <row r="2" spans="1:8" x14ac:dyDescent="0.25">
      <c r="A2" s="1042" t="str">
        <f>desc</f>
        <v>Description</v>
      </c>
      <c r="B2" s="1035" t="str">
        <f>head27</f>
        <v>Ref</v>
      </c>
      <c r="C2" s="140" t="str">
        <f>Head1</f>
        <v>2019/20</v>
      </c>
      <c r="D2" s="245" t="str">
        <f>Head2</f>
        <v>Budget Year 2020/21</v>
      </c>
      <c r="E2" s="229"/>
      <c r="F2" s="229"/>
      <c r="G2" s="230"/>
    </row>
    <row r="3" spans="1:8" ht="25.5" x14ac:dyDescent="0.25">
      <c r="A3" s="1043"/>
      <c r="B3" s="1046"/>
      <c r="C3" s="140" t="str">
        <f>Head5</f>
        <v>Audited Outcome</v>
      </c>
      <c r="D3" s="257" t="str">
        <f>Head6</f>
        <v>Original Budget</v>
      </c>
      <c r="E3" s="141" t="str">
        <f>Head7</f>
        <v>Adjusted Budget</v>
      </c>
      <c r="F3" s="141" t="str">
        <f>Head39</f>
        <v>YearTD actual</v>
      </c>
      <c r="G3" s="164" t="str">
        <f>Head8</f>
        <v>Full Year Forecast</v>
      </c>
    </row>
    <row r="4" spans="1:8" x14ac:dyDescent="0.25">
      <c r="A4" s="34" t="s">
        <v>667</v>
      </c>
      <c r="B4" s="119">
        <v>1</v>
      </c>
      <c r="C4" s="187"/>
      <c r="D4" s="246"/>
      <c r="E4" s="241"/>
      <c r="F4" s="82"/>
      <c r="G4" s="223"/>
    </row>
    <row r="5" spans="1:8" ht="11.25" customHeight="1" x14ac:dyDescent="0.25">
      <c r="A5" s="182" t="s">
        <v>542</v>
      </c>
      <c r="B5" s="186"/>
      <c r="C5" s="170"/>
      <c r="D5" s="267"/>
      <c r="E5" s="36"/>
      <c r="F5" s="36"/>
      <c r="G5" s="226"/>
    </row>
    <row r="6" spans="1:8" ht="11.25" customHeight="1" x14ac:dyDescent="0.25">
      <c r="A6" s="87" t="s">
        <v>543</v>
      </c>
      <c r="B6" s="169"/>
      <c r="C6" s="40"/>
      <c r="D6" s="268"/>
      <c r="E6" s="103"/>
      <c r="F6" s="103"/>
      <c r="G6" s="266"/>
    </row>
    <row r="7" spans="1:8" ht="12.75" customHeight="1" x14ac:dyDescent="0.25">
      <c r="A7" s="39" t="s">
        <v>785</v>
      </c>
      <c r="B7" s="169"/>
      <c r="C7" s="748"/>
      <c r="D7" s="753">
        <v>365664115.172562</v>
      </c>
      <c r="E7" s="733">
        <v>587058869.06572831</v>
      </c>
      <c r="F7" s="733">
        <v>18493142.539999995</v>
      </c>
      <c r="G7" s="735">
        <f>E7</f>
        <v>587058869.06572831</v>
      </c>
    </row>
    <row r="8" spans="1:8" ht="12.75" customHeight="1" x14ac:dyDescent="0.25">
      <c r="A8" s="39" t="s">
        <v>590</v>
      </c>
      <c r="B8" s="169"/>
      <c r="C8" s="748"/>
      <c r="D8" s="753">
        <v>16771734.260000002</v>
      </c>
      <c r="E8" s="733">
        <v>16771734.260000199</v>
      </c>
      <c r="F8" s="733">
        <v>259703081.90999997</v>
      </c>
      <c r="G8" s="735">
        <f t="shared" ref="G8:G10" si="0">E8</f>
        <v>16771734.260000199</v>
      </c>
    </row>
    <row r="9" spans="1:8" ht="12.75" customHeight="1" x14ac:dyDescent="0.25">
      <c r="A9" s="39" t="s">
        <v>588</v>
      </c>
      <c r="B9" s="169"/>
      <c r="C9" s="748"/>
      <c r="D9" s="753">
        <v>2485904793.8587079</v>
      </c>
      <c r="E9" s="733">
        <v>2485904793.8587079</v>
      </c>
      <c r="F9" s="733">
        <v>2278084458.4799995</v>
      </c>
      <c r="G9" s="735">
        <f t="shared" si="0"/>
        <v>2485904793.8587079</v>
      </c>
    </row>
    <row r="10" spans="1:8" ht="12.75" customHeight="1" x14ac:dyDescent="0.25">
      <c r="A10" s="39" t="s">
        <v>589</v>
      </c>
      <c r="B10" s="169"/>
      <c r="C10" s="748"/>
      <c r="D10" s="753">
        <v>67823549.673443094</v>
      </c>
      <c r="E10" s="733">
        <v>67823549.673443094</v>
      </c>
      <c r="F10" s="733">
        <v>2607542.1199999978</v>
      </c>
      <c r="G10" s="735">
        <f t="shared" si="0"/>
        <v>67823549.673443094</v>
      </c>
    </row>
    <row r="11" spans="1:8" ht="12.75" customHeight="1" x14ac:dyDescent="0.25">
      <c r="A11" s="39" t="s">
        <v>786</v>
      </c>
      <c r="B11" s="169"/>
      <c r="C11" s="748"/>
      <c r="D11" s="753"/>
      <c r="E11" s="733">
        <v>0</v>
      </c>
      <c r="F11" s="733"/>
      <c r="G11" s="735"/>
    </row>
    <row r="12" spans="1:8" ht="12.75" customHeight="1" x14ac:dyDescent="0.25">
      <c r="A12" s="39" t="s">
        <v>587</v>
      </c>
      <c r="B12" s="169"/>
      <c r="C12" s="748"/>
      <c r="D12" s="753">
        <v>36180571.679769903</v>
      </c>
      <c r="E12" s="733">
        <v>36180571.679769903</v>
      </c>
      <c r="F12" s="733">
        <v>587666604.26999998</v>
      </c>
      <c r="G12" s="735">
        <f>E12</f>
        <v>36180571.679769903</v>
      </c>
    </row>
    <row r="13" spans="1:8" ht="12.75" customHeight="1" x14ac:dyDescent="0.25">
      <c r="A13" s="92" t="s">
        <v>632</v>
      </c>
      <c r="B13" s="233"/>
      <c r="C13" s="243">
        <f>SUM(C7:C12)</f>
        <v>0</v>
      </c>
      <c r="D13" s="260">
        <f>SUM(D7:D12)</f>
        <v>2972344764.6444831</v>
      </c>
      <c r="E13" s="73">
        <f>SUM(E7:E12)</f>
        <v>3193739518.5376496</v>
      </c>
      <c r="F13" s="73">
        <f>SUM(F7:F12)</f>
        <v>3146554829.3199992</v>
      </c>
      <c r="G13" s="145">
        <f>SUM(G7:G12)</f>
        <v>3193739518.5376496</v>
      </c>
    </row>
    <row r="14" spans="1:8" ht="5.0999999999999996" customHeight="1" x14ac:dyDescent="0.25">
      <c r="A14" s="42"/>
      <c r="B14" s="169"/>
      <c r="C14" s="134"/>
      <c r="D14" s="258"/>
      <c r="E14" s="44"/>
      <c r="F14" s="44"/>
      <c r="G14" s="144"/>
    </row>
    <row r="15" spans="1:8" ht="12.75" customHeight="1" x14ac:dyDescent="0.25">
      <c r="A15" s="87" t="s">
        <v>454</v>
      </c>
      <c r="B15" s="169"/>
      <c r="C15" s="134"/>
      <c r="D15" s="258"/>
      <c r="E15" s="44"/>
      <c r="F15" s="44"/>
      <c r="G15" s="144"/>
    </row>
    <row r="16" spans="1:8" ht="12.75" customHeight="1" x14ac:dyDescent="0.25">
      <c r="A16" s="39" t="s">
        <v>586</v>
      </c>
      <c r="B16" s="169"/>
      <c r="C16" s="748"/>
      <c r="D16" s="753"/>
      <c r="E16" s="733"/>
      <c r="F16" s="733">
        <v>-1775590.25</v>
      </c>
      <c r="G16" s="733"/>
      <c r="H16" s="39"/>
    </row>
    <row r="17" spans="1:8" ht="12.75" customHeight="1" x14ac:dyDescent="0.25">
      <c r="A17" s="39" t="s">
        <v>544</v>
      </c>
      <c r="B17" s="169"/>
      <c r="C17" s="748"/>
      <c r="D17" s="753">
        <v>2969671.4292000006</v>
      </c>
      <c r="E17" s="733">
        <v>2969671.4292000006</v>
      </c>
      <c r="F17" s="733"/>
      <c r="G17" s="735">
        <f t="shared" ref="G17:G24" si="1">E17</f>
        <v>2969671.4292000006</v>
      </c>
      <c r="H17" s="39"/>
    </row>
    <row r="18" spans="1:8" ht="12.75" customHeight="1" x14ac:dyDescent="0.25">
      <c r="A18" s="39" t="s">
        <v>585</v>
      </c>
      <c r="B18" s="169"/>
      <c r="C18" s="748"/>
      <c r="D18" s="753">
        <v>782332533.60000002</v>
      </c>
      <c r="E18" s="733">
        <v>782332533.60000002</v>
      </c>
      <c r="F18" s="733">
        <v>707626999.95000005</v>
      </c>
      <c r="G18" s="735">
        <f t="shared" si="1"/>
        <v>782332533.60000002</v>
      </c>
      <c r="H18" s="39"/>
    </row>
    <row r="19" spans="1:8" ht="12.75" customHeight="1" x14ac:dyDescent="0.25">
      <c r="A19" s="39" t="s">
        <v>278</v>
      </c>
      <c r="B19" s="169"/>
      <c r="C19" s="748"/>
      <c r="D19" s="753"/>
      <c r="E19" s="733"/>
      <c r="F19" s="733"/>
      <c r="G19" s="735"/>
      <c r="H19" s="39"/>
    </row>
    <row r="20" spans="1:8" ht="12.75" customHeight="1" x14ac:dyDescent="0.25">
      <c r="A20" s="39" t="s">
        <v>584</v>
      </c>
      <c r="B20" s="169"/>
      <c r="C20" s="748"/>
      <c r="D20" s="753">
        <v>7111997635.7252645</v>
      </c>
      <c r="E20" s="733">
        <v>7160597635.4495039</v>
      </c>
      <c r="F20" s="733">
        <v>6771331981.4900017</v>
      </c>
      <c r="G20" s="735">
        <f t="shared" si="1"/>
        <v>7160597635.4495039</v>
      </c>
    </row>
    <row r="21" spans="1:8" ht="0.95" customHeight="1" x14ac:dyDescent="0.25">
      <c r="A21" s="39"/>
      <c r="B21" s="169"/>
      <c r="C21" s="648"/>
      <c r="D21" s="670"/>
      <c r="E21" s="408"/>
      <c r="F21" s="408"/>
      <c r="G21" s="642"/>
      <c r="H21" s="39"/>
    </row>
    <row r="22" spans="1:8" ht="12.75" customHeight="1" x14ac:dyDescent="0.25">
      <c r="A22" s="39" t="s">
        <v>1333</v>
      </c>
      <c r="B22" s="169"/>
      <c r="C22" s="748"/>
      <c r="D22" s="753">
        <v>1065650.33</v>
      </c>
      <c r="E22" s="733">
        <v>1065650.33</v>
      </c>
      <c r="F22" s="733">
        <v>1070250</v>
      </c>
      <c r="G22" s="735">
        <f t="shared" si="1"/>
        <v>1065650.33</v>
      </c>
      <c r="H22" s="39"/>
    </row>
    <row r="23" spans="1:8" ht="12.75" customHeight="1" x14ac:dyDescent="0.25">
      <c r="A23" s="39" t="s">
        <v>1334</v>
      </c>
      <c r="B23" s="169"/>
      <c r="C23" s="748"/>
      <c r="D23" s="753">
        <v>46132727.226800002</v>
      </c>
      <c r="E23" s="733">
        <v>46132727.226800002</v>
      </c>
      <c r="F23" s="733">
        <v>25420420.640000001</v>
      </c>
      <c r="G23" s="735">
        <f t="shared" si="1"/>
        <v>46132727.226800002</v>
      </c>
      <c r="H23" s="39"/>
    </row>
    <row r="24" spans="1:8" ht="12.75" customHeight="1" x14ac:dyDescent="0.25">
      <c r="A24" s="39" t="s">
        <v>795</v>
      </c>
      <c r="B24" s="169"/>
      <c r="C24" s="748"/>
      <c r="D24" s="753">
        <v>395927434.26520002</v>
      </c>
      <c r="E24" s="733">
        <v>395927434.26520002</v>
      </c>
      <c r="F24" s="733">
        <v>83200000</v>
      </c>
      <c r="G24" s="735">
        <f t="shared" si="1"/>
        <v>395927434.26520002</v>
      </c>
      <c r="H24" s="39"/>
    </row>
    <row r="25" spans="1:8" ht="12.75" customHeight="1" x14ac:dyDescent="0.25">
      <c r="A25" s="92" t="s">
        <v>631</v>
      </c>
      <c r="B25" s="233"/>
      <c r="C25" s="243">
        <f>SUM(C16:C20)+SUM(C22:C24)</f>
        <v>0</v>
      </c>
      <c r="D25" s="260">
        <f>SUM(D16:D20)+SUM(D22:D24)</f>
        <v>8340425652.5764656</v>
      </c>
      <c r="E25" s="73">
        <f>SUM(E16:E20)+SUM(E22:E24)</f>
        <v>8389025652.300705</v>
      </c>
      <c r="F25" s="73">
        <f>SUM(F16:F20)+SUM(F22:F24)</f>
        <v>7586874061.8300018</v>
      </c>
      <c r="G25" s="145">
        <f>SUM(G16:G20)+SUM(G22:G24)</f>
        <v>8389025652.300705</v>
      </c>
      <c r="H25" s="39"/>
    </row>
    <row r="26" spans="1:8" ht="12.75" customHeight="1" x14ac:dyDescent="0.25">
      <c r="A26" s="92" t="s">
        <v>778</v>
      </c>
      <c r="B26" s="233"/>
      <c r="C26" s="243">
        <f>C13+C25</f>
        <v>0</v>
      </c>
      <c r="D26" s="260">
        <f>D13+D25</f>
        <v>11312770417.220949</v>
      </c>
      <c r="E26" s="73">
        <f>E13+E25</f>
        <v>11582765170.838354</v>
      </c>
      <c r="F26" s="73">
        <f>F13+F25</f>
        <v>10733428891.150002</v>
      </c>
      <c r="G26" s="145">
        <f>G13+G25</f>
        <v>11582765170.838354</v>
      </c>
    </row>
    <row r="27" spans="1:8" ht="5.0999999999999996" customHeight="1" x14ac:dyDescent="0.25">
      <c r="A27" s="42"/>
      <c r="B27" s="169"/>
      <c r="C27" s="134"/>
      <c r="D27" s="258"/>
      <c r="E27" s="44"/>
      <c r="F27" s="44"/>
      <c r="G27" s="144"/>
    </row>
    <row r="28" spans="1:8" ht="12.75" customHeight="1" x14ac:dyDescent="0.25">
      <c r="A28" s="35" t="s">
        <v>455</v>
      </c>
      <c r="B28" s="169"/>
      <c r="C28" s="134"/>
      <c r="D28" s="258"/>
      <c r="E28" s="44"/>
      <c r="F28" s="44"/>
      <c r="G28" s="144"/>
    </row>
    <row r="29" spans="1:8" ht="12.75" customHeight="1" x14ac:dyDescent="0.25">
      <c r="A29" s="87" t="s">
        <v>545</v>
      </c>
      <c r="B29" s="175"/>
      <c r="C29" s="134"/>
      <c r="D29" s="258"/>
      <c r="E29" s="44"/>
      <c r="F29" s="44"/>
      <c r="G29" s="144"/>
    </row>
    <row r="30" spans="1:8" ht="12.75" customHeight="1" x14ac:dyDescent="0.25">
      <c r="A30" s="39" t="s">
        <v>744</v>
      </c>
      <c r="B30" s="169"/>
      <c r="C30" s="748"/>
      <c r="D30" s="753"/>
      <c r="E30" s="733"/>
      <c r="F30" s="733"/>
      <c r="G30" s="735"/>
    </row>
    <row r="31" spans="1:8" ht="12.75" customHeight="1" x14ac:dyDescent="0.25">
      <c r="A31" s="39" t="s">
        <v>779</v>
      </c>
      <c r="B31" s="169"/>
      <c r="C31" s="748"/>
      <c r="D31" s="753">
        <v>85380595.876948789</v>
      </c>
      <c r="E31" s="733">
        <v>85380595.876948789</v>
      </c>
      <c r="F31" s="733">
        <v>40498374.420000002</v>
      </c>
      <c r="G31" s="735">
        <f t="shared" ref="G31:G34" si="2">E31</f>
        <v>85380595.876948789</v>
      </c>
    </row>
    <row r="32" spans="1:8" ht="12.75" customHeight="1" x14ac:dyDescent="0.25">
      <c r="A32" s="39" t="s">
        <v>583</v>
      </c>
      <c r="B32" s="169"/>
      <c r="C32" s="748"/>
      <c r="D32" s="753">
        <v>114344430.65218705</v>
      </c>
      <c r="E32" s="733">
        <v>114344430.65218705</v>
      </c>
      <c r="F32" s="733">
        <v>122711092.44</v>
      </c>
      <c r="G32" s="735">
        <f t="shared" si="2"/>
        <v>114344430.65218705</v>
      </c>
    </row>
    <row r="33" spans="1:7" ht="12.75" customHeight="1" x14ac:dyDescent="0.25">
      <c r="A33" s="39" t="s">
        <v>787</v>
      </c>
      <c r="B33" s="169"/>
      <c r="C33" s="748"/>
      <c r="D33" s="753">
        <v>1101595513.0999999</v>
      </c>
      <c r="E33" s="733">
        <v>1329204656.099849</v>
      </c>
      <c r="F33" s="733">
        <v>1199398282.8900001</v>
      </c>
      <c r="G33" s="735">
        <f t="shared" si="2"/>
        <v>1329204656.099849</v>
      </c>
    </row>
    <row r="34" spans="1:7" ht="12.75" customHeight="1" x14ac:dyDescent="0.25">
      <c r="A34" s="39" t="s">
        <v>546</v>
      </c>
      <c r="B34" s="169"/>
      <c r="C34" s="748"/>
      <c r="D34" s="753">
        <v>140397811.785</v>
      </c>
      <c r="E34" s="733">
        <v>140397811.785</v>
      </c>
      <c r="F34" s="733">
        <v>39036244</v>
      </c>
      <c r="G34" s="735">
        <f t="shared" si="2"/>
        <v>140397811.785</v>
      </c>
    </row>
    <row r="35" spans="1:7" ht="12.75" customHeight="1" x14ac:dyDescent="0.25">
      <c r="A35" s="92" t="s">
        <v>459</v>
      </c>
      <c r="B35" s="233"/>
      <c r="C35" s="243">
        <f>SUM(C30:C34)</f>
        <v>0</v>
      </c>
      <c r="D35" s="260">
        <f>SUM(D30:D34)</f>
        <v>1441718351.4141357</v>
      </c>
      <c r="E35" s="73">
        <f>SUM(E30:E34)</f>
        <v>1669327494.413985</v>
      </c>
      <c r="F35" s="73">
        <f>SUM(F30:F34)</f>
        <v>1401643993.75</v>
      </c>
      <c r="G35" s="145">
        <f>SUM(G30:G34)</f>
        <v>1669327494.413985</v>
      </c>
    </row>
    <row r="36" spans="1:7" ht="5.0999999999999996" customHeight="1" x14ac:dyDescent="0.25">
      <c r="A36" s="42"/>
      <c r="B36" s="169"/>
      <c r="C36" s="134"/>
      <c r="D36" s="258"/>
      <c r="E36" s="44"/>
      <c r="F36" s="44"/>
      <c r="G36" s="144"/>
    </row>
    <row r="37" spans="1:7" ht="12.75" customHeight="1" x14ac:dyDescent="0.25">
      <c r="A37" s="87" t="s">
        <v>457</v>
      </c>
      <c r="B37" s="169"/>
      <c r="C37" s="134"/>
      <c r="D37" s="258"/>
      <c r="E37" s="44"/>
      <c r="F37" s="44"/>
      <c r="G37" s="144"/>
    </row>
    <row r="38" spans="1:7" ht="12.75" customHeight="1" x14ac:dyDescent="0.25">
      <c r="A38" s="39" t="s">
        <v>779</v>
      </c>
      <c r="B38" s="169"/>
      <c r="C38" s="748"/>
      <c r="D38" s="753">
        <v>282085537</v>
      </c>
      <c r="E38" s="733">
        <v>282085537</v>
      </c>
      <c r="F38" s="733">
        <v>285317995.64999998</v>
      </c>
      <c r="G38" s="735">
        <f t="shared" ref="G38:G39" si="3">E38</f>
        <v>282085537</v>
      </c>
    </row>
    <row r="39" spans="1:7" ht="12.75" customHeight="1" x14ac:dyDescent="0.25">
      <c r="A39" s="39" t="s">
        <v>546</v>
      </c>
      <c r="B39" s="169"/>
      <c r="C39" s="748"/>
      <c r="D39" s="753">
        <v>809779414.93056619</v>
      </c>
      <c r="E39" s="733">
        <v>809779414.93056619</v>
      </c>
      <c r="F39" s="733">
        <v>534772329.63999999</v>
      </c>
      <c r="G39" s="735">
        <f t="shared" si="3"/>
        <v>809779414.93056619</v>
      </c>
    </row>
    <row r="40" spans="1:7" ht="12.75" customHeight="1" x14ac:dyDescent="0.25">
      <c r="A40" s="92" t="s">
        <v>458</v>
      </c>
      <c r="B40" s="233"/>
      <c r="C40" s="243">
        <f>SUM(C38:C39)</f>
        <v>0</v>
      </c>
      <c r="D40" s="260">
        <f>SUM(D38:D39)</f>
        <v>1091864951.9305663</v>
      </c>
      <c r="E40" s="73">
        <f>SUM(E38:E39)</f>
        <v>1091864951.9305663</v>
      </c>
      <c r="F40" s="73">
        <f>SUM(F38:F39)</f>
        <v>820090325.28999996</v>
      </c>
      <c r="G40" s="145">
        <f>SUM(G38:G39)</f>
        <v>1091864951.9305663</v>
      </c>
    </row>
    <row r="41" spans="1:7" ht="12.75" customHeight="1" x14ac:dyDescent="0.25">
      <c r="A41" s="92" t="s">
        <v>1</v>
      </c>
      <c r="B41" s="233"/>
      <c r="C41" s="243">
        <f>C35+C40</f>
        <v>0</v>
      </c>
      <c r="D41" s="260">
        <f>D35+D40</f>
        <v>2533583303.3447018</v>
      </c>
      <c r="E41" s="73">
        <f>E35+E40</f>
        <v>2761192446.3445511</v>
      </c>
      <c r="F41" s="73">
        <f>F35+F40</f>
        <v>2221734319.04</v>
      </c>
      <c r="G41" s="145">
        <f>G35+G40</f>
        <v>2761192446.3445511</v>
      </c>
    </row>
    <row r="42" spans="1:7" ht="5.0999999999999996" customHeight="1" x14ac:dyDescent="0.25">
      <c r="A42" s="42"/>
      <c r="B42" s="169"/>
      <c r="C42" s="134"/>
      <c r="D42" s="258"/>
      <c r="E42" s="44"/>
      <c r="F42" s="44"/>
      <c r="G42" s="144"/>
    </row>
    <row r="43" spans="1:7" ht="12.75" customHeight="1" x14ac:dyDescent="0.25">
      <c r="A43" s="94" t="s">
        <v>777</v>
      </c>
      <c r="B43" s="119">
        <v>2</v>
      </c>
      <c r="C43" s="244">
        <f>C26-C41</f>
        <v>0</v>
      </c>
      <c r="D43" s="265">
        <f>D26-D41</f>
        <v>8779187113.8762474</v>
      </c>
      <c r="E43" s="76">
        <f>E26-E41</f>
        <v>8821572724.493803</v>
      </c>
      <c r="F43" s="76">
        <f>F26-F41</f>
        <v>8511694572.1100016</v>
      </c>
      <c r="G43" s="234">
        <f>G26-G41</f>
        <v>8821572724.493803</v>
      </c>
    </row>
    <row r="44" spans="1:7" ht="5.0999999999999996" customHeight="1" x14ac:dyDescent="0.25">
      <c r="A44" s="42"/>
      <c r="B44" s="169"/>
      <c r="C44" s="134"/>
      <c r="D44" s="258"/>
      <c r="E44" s="44"/>
      <c r="F44" s="44"/>
      <c r="G44" s="144"/>
    </row>
    <row r="45" spans="1:7" ht="12.75" customHeight="1" x14ac:dyDescent="0.25">
      <c r="A45" s="35" t="s">
        <v>633</v>
      </c>
      <c r="B45" s="169"/>
      <c r="C45" s="134"/>
      <c r="D45" s="258"/>
      <c r="E45" s="44"/>
      <c r="F45" s="44"/>
      <c r="G45" s="144"/>
    </row>
    <row r="46" spans="1:7" ht="12.75" customHeight="1" x14ac:dyDescent="0.25">
      <c r="A46" s="39" t="s">
        <v>569</v>
      </c>
      <c r="B46" s="169"/>
      <c r="C46" s="748"/>
      <c r="D46" s="753">
        <v>8550273855.8762474</v>
      </c>
      <c r="E46" s="733">
        <v>8592659466.4938049</v>
      </c>
      <c r="F46" s="733">
        <v>8321389229.3800001</v>
      </c>
      <c r="G46" s="735">
        <f t="shared" ref="G46:G47" si="4">E46</f>
        <v>8592659466.4938049</v>
      </c>
    </row>
    <row r="47" spans="1:7" ht="12.75" customHeight="1" x14ac:dyDescent="0.25">
      <c r="A47" s="39" t="s">
        <v>902</v>
      </c>
      <c r="B47" s="169"/>
      <c r="C47" s="748"/>
      <c r="D47" s="753">
        <v>228913258</v>
      </c>
      <c r="E47" s="733">
        <v>228913258</v>
      </c>
      <c r="F47" s="733">
        <v>190305342.73000115</v>
      </c>
      <c r="G47" s="735">
        <f t="shared" si="4"/>
        <v>228913258</v>
      </c>
    </row>
    <row r="48" spans="1:7" ht="12.75" customHeight="1" x14ac:dyDescent="0.25">
      <c r="A48" s="53" t="s">
        <v>626</v>
      </c>
      <c r="B48" s="236">
        <v>2</v>
      </c>
      <c r="C48" s="112">
        <f>SUM(C46:C47)</f>
        <v>0</v>
      </c>
      <c r="D48" s="271">
        <f>SUM(D46:D47)</f>
        <v>8779187113.8762474</v>
      </c>
      <c r="E48" s="55">
        <f>SUM(E46:E47)</f>
        <v>8821572724.4938049</v>
      </c>
      <c r="F48" s="55">
        <f>SUM(F46:F47)</f>
        <v>8511694572.1100016</v>
      </c>
      <c r="G48" s="235">
        <f>SUM(G46:G47)</f>
        <v>8821572724.4938049</v>
      </c>
    </row>
    <row r="49" spans="1:7" ht="12.75" customHeight="1" x14ac:dyDescent="0.25">
      <c r="A49" s="78" t="str">
        <f>head27a</f>
        <v>References</v>
      </c>
      <c r="B49" s="58"/>
      <c r="C49" s="49"/>
      <c r="D49" s="49"/>
      <c r="E49" s="49"/>
      <c r="F49" s="49"/>
      <c r="G49" s="49"/>
    </row>
    <row r="50" spans="1:7" ht="13.5" customHeight="1" x14ac:dyDescent="0.25">
      <c r="A50" s="1056" t="s">
        <v>145</v>
      </c>
      <c r="B50" s="1056"/>
      <c r="C50" s="1056"/>
      <c r="D50" s="1056"/>
      <c r="E50" s="1056"/>
      <c r="F50" s="1056"/>
      <c r="G50" s="1056"/>
    </row>
    <row r="51" spans="1:7" ht="13.5" customHeight="1" x14ac:dyDescent="0.25">
      <c r="A51" s="80" t="s">
        <v>898</v>
      </c>
      <c r="B51" s="64"/>
      <c r="C51" s="79"/>
      <c r="D51" s="79"/>
      <c r="E51" s="79"/>
      <c r="F51" s="79"/>
      <c r="G51" s="79"/>
    </row>
    <row r="52" spans="1:7" ht="11.25" customHeight="1" x14ac:dyDescent="0.25">
      <c r="A52" s="80"/>
      <c r="B52" s="64"/>
      <c r="C52" s="79"/>
      <c r="D52" s="79"/>
      <c r="E52" s="79"/>
      <c r="F52" s="79"/>
      <c r="G52" s="79"/>
    </row>
    <row r="53" spans="1:7" ht="11.25" customHeight="1" x14ac:dyDescent="0.25">
      <c r="A53" s="80"/>
      <c r="B53" s="64"/>
      <c r="C53" s="79"/>
      <c r="D53" s="79"/>
      <c r="E53" s="79"/>
      <c r="F53" s="79"/>
      <c r="G53" s="79"/>
    </row>
    <row r="54" spans="1:7" ht="11.25" customHeight="1" x14ac:dyDescent="0.25">
      <c r="A54" s="65" t="s">
        <v>720</v>
      </c>
      <c r="B54" s="64"/>
      <c r="C54" s="118">
        <f>C43-C48</f>
        <v>0</v>
      </c>
      <c r="D54" s="118">
        <f>D43-D48</f>
        <v>0</v>
      </c>
      <c r="E54" s="118">
        <f>E43-E48</f>
        <v>0</v>
      </c>
      <c r="F54" s="118">
        <f>F43-F48</f>
        <v>0</v>
      </c>
      <c r="G54" s="118">
        <f>G43-G48</f>
        <v>0</v>
      </c>
    </row>
    <row r="55" spans="1:7" ht="11.25" customHeight="1" x14ac:dyDescent="0.25">
      <c r="A55" s="67"/>
      <c r="B55" s="58"/>
      <c r="C55" s="67"/>
      <c r="D55" s="67"/>
      <c r="E55" s="67"/>
      <c r="F55" s="67"/>
      <c r="G55" s="67"/>
    </row>
    <row r="56" spans="1:7" ht="11.25" customHeight="1" x14ac:dyDescent="0.25">
      <c r="B56" s="25"/>
    </row>
    <row r="57" spans="1:7" ht="11.25" customHeight="1" x14ac:dyDescent="0.25">
      <c r="B57" s="25"/>
    </row>
    <row r="58" spans="1:7" ht="11.25" customHeight="1" x14ac:dyDescent="0.25">
      <c r="B58" s="25"/>
    </row>
    <row r="59" spans="1:7" ht="11.25" customHeight="1" x14ac:dyDescent="0.25">
      <c r="B59" s="25"/>
    </row>
    <row r="60" spans="1:7" ht="11.25" customHeight="1" x14ac:dyDescent="0.25">
      <c r="B60" s="25"/>
    </row>
    <row r="61" spans="1:7" ht="11.25" customHeight="1" x14ac:dyDescent="0.25">
      <c r="B61" s="25"/>
    </row>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password="C646" sheet="1" objects="1" scenarios="1"/>
  <mergeCells count="4">
    <mergeCell ref="A2:A3"/>
    <mergeCell ref="B2:B3"/>
    <mergeCell ref="A50:G50"/>
    <mergeCell ref="A1:G1"/>
  </mergeCells>
  <phoneticPr fontId="2" type="noConversion"/>
  <printOptions horizontalCentered="1"/>
  <pageMargins left="0.35" right="0.17" top="0.77" bottom="0.61" header="0.51181102362204722" footer="0.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44"/>
    <pageSetUpPr fitToPage="1"/>
  </sheetPr>
  <dimension ref="A1:K81"/>
  <sheetViews>
    <sheetView showGridLines="0" zoomScaleNormal="100" workbookViewId="0">
      <pane xSplit="2" ySplit="4" topLeftCell="C5" activePane="bottomRight" state="frozen"/>
      <selection pane="topRight"/>
      <selection pane="bottomLeft"/>
      <selection pane="bottomRight" activeCell="F27" sqref="F27:G27"/>
    </sheetView>
  </sheetViews>
  <sheetFormatPr defaultColWidth="9.140625" defaultRowHeight="12.75" x14ac:dyDescent="0.25"/>
  <cols>
    <col min="1" max="1" width="36"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3" t="str">
        <f>muni&amp; " - "&amp;S71F&amp; " - "&amp;date</f>
        <v>KZN225 Msunduzi - Table C7 Consolidated Monthly Budget Statement - Cash Flow  - Mid-Year Assessment</v>
      </c>
      <c r="B1" s="1053"/>
      <c r="C1" s="1053"/>
      <c r="D1" s="1053"/>
      <c r="E1" s="1053"/>
      <c r="F1" s="1053"/>
      <c r="G1" s="1053"/>
      <c r="H1" s="1053"/>
      <c r="I1" s="1053"/>
      <c r="J1" s="1053"/>
      <c r="K1" s="1053"/>
    </row>
    <row r="2" spans="1:11" x14ac:dyDescent="0.25">
      <c r="A2" s="1042" t="str">
        <f>desc</f>
        <v>Description</v>
      </c>
      <c r="B2" s="1035" t="str">
        <f>head27</f>
        <v>Ref</v>
      </c>
      <c r="C2" s="139" t="str">
        <f>Head1</f>
        <v>2019/20</v>
      </c>
      <c r="D2" s="245" t="str">
        <f>Head2</f>
        <v>Budget Year 2020/21</v>
      </c>
      <c r="E2" s="229"/>
      <c r="F2" s="229"/>
      <c r="G2" s="229"/>
      <c r="H2" s="229"/>
      <c r="I2" s="229"/>
      <c r="J2" s="229"/>
      <c r="K2" s="230"/>
    </row>
    <row r="3" spans="1:11" ht="25.5" x14ac:dyDescent="0.25">
      <c r="A3" s="1043"/>
      <c r="B3" s="1046"/>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667</v>
      </c>
      <c r="B4" s="119">
        <v>1</v>
      </c>
      <c r="C4" s="187"/>
      <c r="D4" s="240"/>
      <c r="E4" s="241"/>
      <c r="F4" s="82"/>
      <c r="G4" s="82"/>
      <c r="H4" s="82"/>
      <c r="I4" s="82"/>
      <c r="J4" s="242" t="s">
        <v>575</v>
      </c>
      <c r="K4" s="223"/>
    </row>
    <row r="5" spans="1:11" ht="12.75" customHeight="1" x14ac:dyDescent="0.25">
      <c r="A5" s="272" t="s">
        <v>837</v>
      </c>
      <c r="B5" s="186"/>
      <c r="C5" s="170"/>
      <c r="D5" s="37"/>
      <c r="E5" s="36"/>
      <c r="F5" s="36"/>
      <c r="G5" s="36"/>
      <c r="H5" s="36"/>
      <c r="I5" s="36"/>
      <c r="J5" s="36"/>
      <c r="K5" s="226"/>
    </row>
    <row r="6" spans="1:11" ht="12.75" customHeight="1" x14ac:dyDescent="0.25">
      <c r="A6" s="87" t="s">
        <v>896</v>
      </c>
      <c r="B6" s="169"/>
      <c r="C6" s="40"/>
      <c r="D6" s="104"/>
      <c r="E6" s="103"/>
      <c r="F6" s="103"/>
      <c r="G6" s="103"/>
      <c r="H6" s="103"/>
      <c r="I6" s="103"/>
      <c r="J6" s="103"/>
      <c r="K6" s="266"/>
    </row>
    <row r="7" spans="1:11" ht="12.75" customHeight="1" x14ac:dyDescent="0.25">
      <c r="A7" s="518" t="s">
        <v>931</v>
      </c>
      <c r="B7" s="169"/>
      <c r="C7" s="748"/>
      <c r="D7" s="745">
        <v>1079325404.9185297</v>
      </c>
      <c r="E7" s="733">
        <v>1079325404.9185297</v>
      </c>
      <c r="F7" s="733">
        <v>72091424.269999996</v>
      </c>
      <c r="G7" s="733">
        <v>137200485.66999972</v>
      </c>
      <c r="H7" s="733">
        <f>E7/12*6</f>
        <v>539662702.45926487</v>
      </c>
      <c r="I7" s="44">
        <f t="shared" ref="I7:I13" si="0">G7-H7</f>
        <v>-402462216.78926516</v>
      </c>
      <c r="J7" s="330">
        <f>IF(I7=0,"",I7/H7)</f>
        <v>-0.74576622574661633</v>
      </c>
      <c r="K7" s="735">
        <f>E7</f>
        <v>1079325404.9185297</v>
      </c>
    </row>
    <row r="8" spans="1:11" ht="12.75" customHeight="1" x14ac:dyDescent="0.25">
      <c r="A8" s="518" t="s">
        <v>962</v>
      </c>
      <c r="B8" s="169"/>
      <c r="C8" s="748"/>
      <c r="D8" s="745">
        <v>3039399061.9489746</v>
      </c>
      <c r="E8" s="733">
        <v>3039399061.9489746</v>
      </c>
      <c r="F8" s="733">
        <v>218966797.37000099</v>
      </c>
      <c r="G8" s="733">
        <v>405761038.22000301</v>
      </c>
      <c r="H8" s="733">
        <f t="shared" ref="H8:H12" si="1">E8/12*6</f>
        <v>1519699530.9744873</v>
      </c>
      <c r="I8" s="44">
        <f t="shared" si="0"/>
        <v>-1113938492.7544842</v>
      </c>
      <c r="J8" s="330">
        <f>IF(I8=0,"",I8/H8)</f>
        <v>-0.73299916861867143</v>
      </c>
      <c r="K8" s="735">
        <f t="shared" ref="K8:K12" si="2">E8</f>
        <v>3039399061.9489746</v>
      </c>
    </row>
    <row r="9" spans="1:11" ht="12.75" customHeight="1" x14ac:dyDescent="0.25">
      <c r="A9" s="518" t="s">
        <v>453</v>
      </c>
      <c r="B9" s="169"/>
      <c r="C9" s="748"/>
      <c r="D9" s="745">
        <v>152193014.45782498</v>
      </c>
      <c r="E9" s="733">
        <v>152193014.45782498</v>
      </c>
      <c r="F9" s="733">
        <v>104871279.36999901</v>
      </c>
      <c r="G9" s="733">
        <v>231041190.25999749</v>
      </c>
      <c r="H9" s="733">
        <f t="shared" si="1"/>
        <v>76096507.228912488</v>
      </c>
      <c r="I9" s="44">
        <f t="shared" si="0"/>
        <v>154944683.03108501</v>
      </c>
      <c r="J9" s="330">
        <f>IF(I9=0,"",I9/H9)</f>
        <v>2.0361602479990641</v>
      </c>
      <c r="K9" s="735">
        <f t="shared" si="2"/>
        <v>152193014.45782498</v>
      </c>
    </row>
    <row r="10" spans="1:11" ht="12.75" customHeight="1" x14ac:dyDescent="0.25">
      <c r="A10" s="992" t="s">
        <v>1372</v>
      </c>
      <c r="B10" s="171"/>
      <c r="C10" s="748"/>
      <c r="D10" s="745">
        <v>675483240</v>
      </c>
      <c r="E10" s="733">
        <v>764481240</v>
      </c>
      <c r="F10" s="733"/>
      <c r="G10" s="733">
        <v>301948058.13999999</v>
      </c>
      <c r="H10" s="733">
        <f t="shared" si="1"/>
        <v>382240620</v>
      </c>
      <c r="I10" s="44">
        <f t="shared" si="0"/>
        <v>-80292561.860000014</v>
      </c>
      <c r="J10" s="330">
        <f>IF(I10=0,"",I10/H10)</f>
        <v>-0.2100576381965894</v>
      </c>
      <c r="K10" s="735">
        <f t="shared" si="2"/>
        <v>764481240</v>
      </c>
    </row>
    <row r="11" spans="1:11" ht="12.75" customHeight="1" x14ac:dyDescent="0.25">
      <c r="A11" s="992" t="s">
        <v>1373</v>
      </c>
      <c r="B11" s="171"/>
      <c r="C11" s="748"/>
      <c r="D11" s="745">
        <v>525891580.99999982</v>
      </c>
      <c r="E11" s="733">
        <v>525891580.99999982</v>
      </c>
      <c r="F11" s="733">
        <v>4215397.12</v>
      </c>
      <c r="G11" s="733">
        <v>34561789.240000002</v>
      </c>
      <c r="H11" s="733">
        <f t="shared" si="1"/>
        <v>262945790.49999988</v>
      </c>
      <c r="I11" s="44">
        <f t="shared" si="0"/>
        <v>-228384001.25999987</v>
      </c>
      <c r="J11" s="330">
        <f t="shared" ref="J11:J18" si="3">IF(I11=0,"",I11/H11)</f>
        <v>-0.86855926016431118</v>
      </c>
      <c r="K11" s="735">
        <f t="shared" si="2"/>
        <v>525891580.99999982</v>
      </c>
    </row>
    <row r="12" spans="1:11" ht="12.75" customHeight="1" x14ac:dyDescent="0.25">
      <c r="A12" s="86" t="s">
        <v>886</v>
      </c>
      <c r="B12" s="171"/>
      <c r="C12" s="748"/>
      <c r="D12" s="745">
        <v>185060483.86592242</v>
      </c>
      <c r="E12" s="733">
        <v>185060483.86592242</v>
      </c>
      <c r="F12" s="733">
        <v>11151</v>
      </c>
      <c r="G12" s="733">
        <v>33955</v>
      </c>
      <c r="H12" s="733">
        <f t="shared" si="1"/>
        <v>92530241.932961211</v>
      </c>
      <c r="I12" s="44">
        <f t="shared" si="0"/>
        <v>-92496286.932961211</v>
      </c>
      <c r="J12" s="330">
        <f t="shared" si="3"/>
        <v>-0.99963303889311561</v>
      </c>
      <c r="K12" s="735">
        <f t="shared" si="2"/>
        <v>185060483.86592242</v>
      </c>
    </row>
    <row r="13" spans="1:11" ht="12.75" customHeight="1" x14ac:dyDescent="0.25">
      <c r="A13" s="86" t="s">
        <v>666</v>
      </c>
      <c r="B13" s="171"/>
      <c r="C13" s="748"/>
      <c r="D13" s="745"/>
      <c r="E13" s="733"/>
      <c r="F13" s="733"/>
      <c r="G13" s="733"/>
      <c r="H13" s="733"/>
      <c r="I13" s="44">
        <f t="shared" si="0"/>
        <v>0</v>
      </c>
      <c r="J13" s="330" t="str">
        <f t="shared" si="3"/>
        <v/>
      </c>
      <c r="K13" s="735"/>
    </row>
    <row r="14" spans="1:11" ht="12.75" customHeight="1" x14ac:dyDescent="0.25">
      <c r="A14" s="88" t="s">
        <v>897</v>
      </c>
      <c r="B14" s="171"/>
      <c r="C14" s="134"/>
      <c r="D14" s="46"/>
      <c r="E14" s="44"/>
      <c r="F14" s="44"/>
      <c r="G14" s="44"/>
      <c r="H14" s="44"/>
      <c r="I14" s="44"/>
      <c r="J14" s="330"/>
      <c r="K14" s="144"/>
    </row>
    <row r="15" spans="1:11" ht="12.75" customHeight="1" x14ac:dyDescent="0.25">
      <c r="A15" s="86" t="s">
        <v>696</v>
      </c>
      <c r="B15" s="171"/>
      <c r="C15" s="748"/>
      <c r="D15" s="745">
        <v>-4847945682.0956488</v>
      </c>
      <c r="E15" s="733">
        <v>-4863745945.6455221</v>
      </c>
      <c r="F15" s="733">
        <f>(-499096406.78-1167576)+-1316488</f>
        <v>-501580470.77999997</v>
      </c>
      <c r="G15" s="733">
        <v>-1153593468.0799999</v>
      </c>
      <c r="H15" s="733">
        <f t="shared" ref="H15:H17" si="4">E15/12*6</f>
        <v>-2431872972.8227611</v>
      </c>
      <c r="I15" s="44">
        <f>H15-G15</f>
        <v>-1278279504.7427611</v>
      </c>
      <c r="J15" s="330">
        <f t="shared" si="3"/>
        <v>0.52563580377268504</v>
      </c>
      <c r="K15" s="735">
        <f t="shared" ref="K15:K17" si="5">E15</f>
        <v>-4863745945.6455221</v>
      </c>
    </row>
    <row r="16" spans="1:11" ht="12.75" customHeight="1" x14ac:dyDescent="0.25">
      <c r="A16" s="86" t="s">
        <v>452</v>
      </c>
      <c r="B16" s="171"/>
      <c r="C16" s="748"/>
      <c r="D16" s="745">
        <v>-31793212.220000003</v>
      </c>
      <c r="E16" s="733">
        <v>-36505334.219999969</v>
      </c>
      <c r="F16" s="733">
        <v>-7584129.6500000004</v>
      </c>
      <c r="G16" s="733">
        <v>-12188526.43</v>
      </c>
      <c r="H16" s="733">
        <f t="shared" si="4"/>
        <v>-18252667.109999985</v>
      </c>
      <c r="I16" s="44">
        <f>H16-G16</f>
        <v>-6064140.6799999848</v>
      </c>
      <c r="J16" s="330">
        <f t="shared" si="3"/>
        <v>0.33223312754537987</v>
      </c>
      <c r="K16" s="735">
        <f t="shared" si="5"/>
        <v>-36505334.219999969</v>
      </c>
    </row>
    <row r="17" spans="1:11" ht="12.75" customHeight="1" x14ac:dyDescent="0.25">
      <c r="A17" s="86" t="s">
        <v>69</v>
      </c>
      <c r="B17" s="171"/>
      <c r="C17" s="748"/>
      <c r="D17" s="745">
        <v>-25080461.44304001</v>
      </c>
      <c r="E17" s="733">
        <v>-58680462.000000015</v>
      </c>
      <c r="F17" s="733"/>
      <c r="G17" s="733"/>
      <c r="H17" s="733">
        <f t="shared" si="4"/>
        <v>-29340231.000000007</v>
      </c>
      <c r="I17" s="44">
        <f>H17-G17</f>
        <v>-29340231.000000007</v>
      </c>
      <c r="J17" s="330">
        <f t="shared" si="3"/>
        <v>1</v>
      </c>
      <c r="K17" s="735">
        <f t="shared" si="5"/>
        <v>-58680462.000000015</v>
      </c>
    </row>
    <row r="18" spans="1:11" ht="12.75" customHeight="1" x14ac:dyDescent="0.25">
      <c r="A18" s="92" t="s">
        <v>889</v>
      </c>
      <c r="B18" s="233"/>
      <c r="C18" s="243">
        <f t="shared" ref="C18:H18" si="6">SUM(C7:C13)+SUM(C15:C17)</f>
        <v>0</v>
      </c>
      <c r="D18" s="74">
        <f t="shared" si="6"/>
        <v>752533430.43256187</v>
      </c>
      <c r="E18" s="73">
        <f t="shared" si="6"/>
        <v>787419044.32572842</v>
      </c>
      <c r="F18" s="73">
        <f t="shared" si="6"/>
        <v>-109008551.29999995</v>
      </c>
      <c r="G18" s="73">
        <f t="shared" si="6"/>
        <v>-55235477.979999781</v>
      </c>
      <c r="H18" s="73">
        <f t="shared" si="6"/>
        <v>393709522.16286421</v>
      </c>
      <c r="I18" s="73">
        <f>H18-G18</f>
        <v>448945000.14286399</v>
      </c>
      <c r="J18" s="331">
        <f t="shared" si="3"/>
        <v>1.1402950014430964</v>
      </c>
      <c r="K18" s="145">
        <f>SUM(K7:K13)+SUM(K15:K17)</f>
        <v>787419044.32572842</v>
      </c>
    </row>
    <row r="19" spans="1:11" ht="5.0999999999999996" customHeight="1" x14ac:dyDescent="0.25">
      <c r="A19" s="42"/>
      <c r="B19" s="169"/>
      <c r="C19" s="134"/>
      <c r="D19" s="46"/>
      <c r="E19" s="44"/>
      <c r="F19" s="44"/>
      <c r="G19" s="44"/>
      <c r="H19" s="44"/>
      <c r="I19" s="44"/>
      <c r="J19" s="44"/>
      <c r="K19" s="144"/>
    </row>
    <row r="20" spans="1:11" ht="12.75" customHeight="1" x14ac:dyDescent="0.25">
      <c r="A20" s="87" t="s">
        <v>721</v>
      </c>
      <c r="B20" s="169"/>
      <c r="C20" s="134"/>
      <c r="D20" s="46"/>
      <c r="E20" s="44"/>
      <c r="F20" s="44"/>
      <c r="G20" s="44"/>
      <c r="H20" s="44"/>
      <c r="I20" s="44"/>
      <c r="J20" s="44"/>
      <c r="K20" s="144"/>
    </row>
    <row r="21" spans="1:11" ht="12.75" customHeight="1" x14ac:dyDescent="0.25">
      <c r="A21" s="87" t="s">
        <v>896</v>
      </c>
      <c r="B21" s="169"/>
      <c r="C21" s="134"/>
      <c r="D21" s="46"/>
      <c r="E21" s="44"/>
      <c r="F21" s="44"/>
      <c r="G21" s="44"/>
      <c r="H21" s="44"/>
      <c r="I21" s="44"/>
      <c r="J21" s="44"/>
      <c r="K21" s="144"/>
    </row>
    <row r="22" spans="1:11" ht="12.75" customHeight="1" x14ac:dyDescent="0.25">
      <c r="A22" s="86" t="s">
        <v>922</v>
      </c>
      <c r="B22" s="169"/>
      <c r="C22" s="748"/>
      <c r="D22" s="745"/>
      <c r="E22" s="733"/>
      <c r="F22" s="733"/>
      <c r="G22" s="733"/>
      <c r="H22" s="733"/>
      <c r="I22" s="44">
        <f>G22-H22</f>
        <v>0</v>
      </c>
      <c r="J22" s="330" t="str">
        <f t="shared" ref="J22:J28" si="7">IF(I22=0,"",I22/H22)</f>
        <v/>
      </c>
      <c r="K22" s="735"/>
    </row>
    <row r="23" spans="1:11" ht="12.75" hidden="1" customHeight="1" x14ac:dyDescent="0.25">
      <c r="A23" s="39"/>
      <c r="B23" s="169"/>
      <c r="C23" s="648"/>
      <c r="D23" s="649"/>
      <c r="E23" s="408"/>
      <c r="F23" s="408"/>
      <c r="G23" s="408"/>
      <c r="H23" s="408"/>
      <c r="I23" s="408"/>
      <c r="J23" s="947"/>
      <c r="K23" s="642"/>
    </row>
    <row r="24" spans="1:11" ht="12.75" customHeight="1" x14ac:dyDescent="0.25">
      <c r="A24" s="992" t="s">
        <v>1371</v>
      </c>
      <c r="B24" s="175"/>
      <c r="C24" s="748"/>
      <c r="D24" s="745"/>
      <c r="E24" s="733"/>
      <c r="F24" s="733"/>
      <c r="G24" s="733"/>
      <c r="H24" s="733"/>
      <c r="I24" s="44">
        <f>G24-H24</f>
        <v>0</v>
      </c>
      <c r="J24" s="330" t="str">
        <f t="shared" si="7"/>
        <v/>
      </c>
      <c r="K24" s="735"/>
    </row>
    <row r="25" spans="1:11" ht="12.75" customHeight="1" x14ac:dyDescent="0.25">
      <c r="A25" s="39" t="s">
        <v>888</v>
      </c>
      <c r="B25" s="169"/>
      <c r="C25" s="748"/>
      <c r="D25" s="745"/>
      <c r="E25" s="733"/>
      <c r="F25" s="733"/>
      <c r="G25" s="733"/>
      <c r="H25" s="733"/>
      <c r="I25" s="44">
        <f>G25-H25</f>
        <v>0</v>
      </c>
      <c r="J25" s="330" t="str">
        <f t="shared" si="7"/>
        <v/>
      </c>
      <c r="K25" s="735"/>
    </row>
    <row r="26" spans="1:11" ht="12.75" customHeight="1" x14ac:dyDescent="0.25">
      <c r="A26" s="87" t="s">
        <v>897</v>
      </c>
      <c r="B26" s="169"/>
      <c r="C26" s="134"/>
      <c r="D26" s="46"/>
      <c r="E26" s="44"/>
      <c r="F26" s="44"/>
      <c r="G26" s="44"/>
      <c r="H26" s="44"/>
      <c r="I26" s="44"/>
      <c r="J26" s="44"/>
      <c r="K26" s="144"/>
    </row>
    <row r="27" spans="1:11" ht="12.75" customHeight="1" x14ac:dyDescent="0.25">
      <c r="A27" s="39" t="s">
        <v>697</v>
      </c>
      <c r="B27" s="169"/>
      <c r="C27" s="748"/>
      <c r="D27" s="745">
        <v>-580891580.99999988</v>
      </c>
      <c r="E27" s="733">
        <v>-621991580.99999988</v>
      </c>
      <c r="F27" s="733">
        <v>-51590954.259999998</v>
      </c>
      <c r="G27" s="733">
        <v>-32478843.490000002</v>
      </c>
      <c r="H27" s="733">
        <f>E27/12*6</f>
        <v>-310995790.49999994</v>
      </c>
      <c r="I27" s="44">
        <f>H27-G27</f>
        <v>-278516947.00999993</v>
      </c>
      <c r="J27" s="330">
        <f t="shared" si="7"/>
        <v>0.89556500608004208</v>
      </c>
      <c r="K27" s="735">
        <f>E27</f>
        <v>-621991580.99999988</v>
      </c>
    </row>
    <row r="28" spans="1:11" ht="12.75" customHeight="1" x14ac:dyDescent="0.25">
      <c r="A28" s="92" t="s">
        <v>890</v>
      </c>
      <c r="B28" s="233"/>
      <c r="C28" s="545">
        <f t="shared" ref="C28:H28" si="8">SUM(C22:C25)+C27</f>
        <v>0</v>
      </c>
      <c r="D28" s="74">
        <f>SUM(D22:D25)+D27</f>
        <v>-580891580.99999988</v>
      </c>
      <c r="E28" s="73">
        <f t="shared" si="8"/>
        <v>-621991580.99999988</v>
      </c>
      <c r="F28" s="73">
        <f t="shared" si="8"/>
        <v>-51590954.259999998</v>
      </c>
      <c r="G28" s="73">
        <f t="shared" si="8"/>
        <v>-32478843.490000002</v>
      </c>
      <c r="H28" s="73">
        <f t="shared" si="8"/>
        <v>-310995790.49999994</v>
      </c>
      <c r="I28" s="73">
        <f>H28-G28</f>
        <v>-278516947.00999993</v>
      </c>
      <c r="J28" s="331">
        <f t="shared" si="7"/>
        <v>0.89556500608004208</v>
      </c>
      <c r="K28" s="145">
        <f>SUM(K22:K25)+K27</f>
        <v>-621991580.99999988</v>
      </c>
    </row>
    <row r="29" spans="1:11" ht="5.0999999999999996" customHeight="1" x14ac:dyDescent="0.25">
      <c r="A29" s="42"/>
      <c r="B29" s="169"/>
      <c r="C29" s="134"/>
      <c r="D29" s="46"/>
      <c r="E29" s="44"/>
      <c r="F29" s="44"/>
      <c r="G29" s="44"/>
      <c r="H29" s="44"/>
      <c r="I29" s="44"/>
      <c r="J29" s="44"/>
      <c r="K29" s="144"/>
    </row>
    <row r="30" spans="1:11" ht="12.75" customHeight="1" x14ac:dyDescent="0.25">
      <c r="A30" s="87" t="s">
        <v>743</v>
      </c>
      <c r="B30" s="169"/>
      <c r="C30" s="134"/>
      <c r="D30" s="46"/>
      <c r="E30" s="44"/>
      <c r="F30" s="44"/>
      <c r="G30" s="44"/>
      <c r="H30" s="44"/>
      <c r="I30" s="44"/>
      <c r="J30" s="44"/>
      <c r="K30" s="144"/>
    </row>
    <row r="31" spans="1:11" ht="12.75" customHeight="1" x14ac:dyDescent="0.25">
      <c r="A31" s="87" t="s">
        <v>896</v>
      </c>
      <c r="B31" s="169"/>
      <c r="C31" s="134"/>
      <c r="D31" s="46"/>
      <c r="E31" s="44"/>
      <c r="F31" s="44"/>
      <c r="G31" s="44"/>
      <c r="H31" s="44"/>
      <c r="I31" s="44"/>
      <c r="J31" s="44"/>
      <c r="K31" s="144"/>
    </row>
    <row r="32" spans="1:11" ht="12.75" customHeight="1" x14ac:dyDescent="0.25">
      <c r="A32" s="39" t="s">
        <v>900</v>
      </c>
      <c r="B32" s="169"/>
      <c r="C32" s="748"/>
      <c r="D32" s="745"/>
      <c r="E32" s="733"/>
      <c r="F32" s="733"/>
      <c r="G32" s="733"/>
      <c r="H32" s="733"/>
      <c r="I32" s="44">
        <f>G32-H32</f>
        <v>0</v>
      </c>
      <c r="J32" s="330" t="str">
        <f t="shared" ref="J32:J37" si="9">IF(I32=0,"",I32/H32)</f>
        <v/>
      </c>
      <c r="K32" s="735"/>
    </row>
    <row r="33" spans="1:11" ht="12.75" customHeight="1" x14ac:dyDescent="0.25">
      <c r="A33" s="39" t="s">
        <v>958</v>
      </c>
      <c r="B33" s="169"/>
      <c r="C33" s="748"/>
      <c r="D33" s="745"/>
      <c r="E33" s="733"/>
      <c r="F33" s="733"/>
      <c r="G33" s="733"/>
      <c r="H33" s="733"/>
      <c r="I33" s="44">
        <f>G33-H33</f>
        <v>0</v>
      </c>
      <c r="J33" s="330" t="str">
        <f t="shared" si="9"/>
        <v/>
      </c>
      <c r="K33" s="735"/>
    </row>
    <row r="34" spans="1:11" ht="12.75" customHeight="1" x14ac:dyDescent="0.25">
      <c r="A34" s="39" t="s">
        <v>70</v>
      </c>
      <c r="B34" s="169"/>
      <c r="C34" s="748"/>
      <c r="D34" s="745"/>
      <c r="E34" s="733"/>
      <c r="F34" s="733"/>
      <c r="G34" s="733"/>
      <c r="H34" s="733"/>
      <c r="I34" s="44">
        <f>G34-H34</f>
        <v>0</v>
      </c>
      <c r="J34" s="330" t="str">
        <f t="shared" si="9"/>
        <v/>
      </c>
      <c r="K34" s="735"/>
    </row>
    <row r="35" spans="1:11" ht="12.75" customHeight="1" x14ac:dyDescent="0.25">
      <c r="A35" s="87" t="s">
        <v>897</v>
      </c>
      <c r="B35" s="169"/>
      <c r="C35" s="134"/>
      <c r="D35" s="46"/>
      <c r="E35" s="44"/>
      <c r="F35" s="44"/>
      <c r="G35" s="44"/>
      <c r="H35" s="44"/>
      <c r="I35" s="44"/>
      <c r="J35" s="330" t="str">
        <f t="shared" si="9"/>
        <v/>
      </c>
      <c r="K35" s="144"/>
    </row>
    <row r="36" spans="1:11" ht="12.75" customHeight="1" x14ac:dyDescent="0.25">
      <c r="A36" s="39" t="s">
        <v>899</v>
      </c>
      <c r="B36" s="169"/>
      <c r="C36" s="748"/>
      <c r="D36" s="745">
        <v>-79206000</v>
      </c>
      <c r="E36" s="733">
        <v>-79206000</v>
      </c>
      <c r="F36" s="733">
        <v>-19566786.379999999</v>
      </c>
      <c r="G36" s="733">
        <v>-20256190.370000001</v>
      </c>
      <c r="H36" s="733">
        <f>E36/12*6</f>
        <v>-39603000</v>
      </c>
      <c r="I36" s="44">
        <f>H36-G36</f>
        <v>-19346809.629999999</v>
      </c>
      <c r="J36" s="330">
        <f t="shared" si="9"/>
        <v>0.4885187897381511</v>
      </c>
      <c r="K36" s="735">
        <f>E36</f>
        <v>-79206000</v>
      </c>
    </row>
    <row r="37" spans="1:11" ht="12.75" customHeight="1" x14ac:dyDescent="0.25">
      <c r="A37" s="92" t="s">
        <v>891</v>
      </c>
      <c r="B37" s="233"/>
      <c r="C37" s="545">
        <f t="shared" ref="C37:H37" si="10">SUM(C32:C34)+C36</f>
        <v>0</v>
      </c>
      <c r="D37" s="74">
        <f t="shared" si="10"/>
        <v>-79206000</v>
      </c>
      <c r="E37" s="73">
        <f t="shared" si="10"/>
        <v>-79206000</v>
      </c>
      <c r="F37" s="73">
        <f t="shared" si="10"/>
        <v>-19566786.379999999</v>
      </c>
      <c r="G37" s="73">
        <f t="shared" si="10"/>
        <v>-20256190.370000001</v>
      </c>
      <c r="H37" s="73">
        <f t="shared" si="10"/>
        <v>-39603000</v>
      </c>
      <c r="I37" s="73">
        <f>H37-G37</f>
        <v>-19346809.629999999</v>
      </c>
      <c r="J37" s="331">
        <f t="shared" si="9"/>
        <v>0.4885187897381511</v>
      </c>
      <c r="K37" s="145">
        <f>SUM(K32:K34)+K36</f>
        <v>-79206000</v>
      </c>
    </row>
    <row r="38" spans="1:11" ht="5.0999999999999996" customHeight="1" x14ac:dyDescent="0.25">
      <c r="A38" s="42"/>
      <c r="B38" s="169"/>
      <c r="C38" s="134"/>
      <c r="D38" s="46"/>
      <c r="E38" s="44"/>
      <c r="F38" s="44"/>
      <c r="G38" s="44"/>
      <c r="H38" s="44"/>
      <c r="I38" s="273"/>
      <c r="J38" s="273"/>
      <c r="K38" s="144"/>
    </row>
    <row r="39" spans="1:11" ht="12.75" customHeight="1" x14ac:dyDescent="0.25">
      <c r="A39" s="87" t="s">
        <v>901</v>
      </c>
      <c r="B39" s="169"/>
      <c r="C39" s="109">
        <f t="shared" ref="C39:H39" si="11">C18+C28+C37</f>
        <v>0</v>
      </c>
      <c r="D39" s="51">
        <f t="shared" si="11"/>
        <v>92435849.432561994</v>
      </c>
      <c r="E39" s="50">
        <f t="shared" si="11"/>
        <v>86221463.325728536</v>
      </c>
      <c r="F39" s="50">
        <f t="shared" si="11"/>
        <v>-180166291.93999994</v>
      </c>
      <c r="G39" s="50">
        <f t="shared" si="11"/>
        <v>-107970511.83999979</v>
      </c>
      <c r="H39" s="50">
        <f t="shared" si="11"/>
        <v>43110731.662864268</v>
      </c>
      <c r="I39" s="327"/>
      <c r="J39" s="327"/>
      <c r="K39" s="194">
        <f>K18+K28+K37</f>
        <v>86221463.325728536</v>
      </c>
    </row>
    <row r="40" spans="1:11" ht="12.75" customHeight="1" x14ac:dyDescent="0.25">
      <c r="A40" s="39" t="s">
        <v>505</v>
      </c>
      <c r="B40" s="169"/>
      <c r="C40" s="748"/>
      <c r="D40" s="745">
        <v>290000000</v>
      </c>
      <c r="E40" s="733">
        <v>517609140</v>
      </c>
      <c r="F40" s="273"/>
      <c r="G40" s="733">
        <v>470048249</v>
      </c>
      <c r="H40" s="44">
        <f>IF(E40=0, D40, E40)</f>
        <v>517609140</v>
      </c>
      <c r="I40" s="273"/>
      <c r="J40" s="273"/>
      <c r="K40" s="385">
        <f>G40</f>
        <v>470048249</v>
      </c>
    </row>
    <row r="41" spans="1:11" ht="12.75" customHeight="1" x14ac:dyDescent="0.25">
      <c r="A41" s="129" t="s">
        <v>55</v>
      </c>
      <c r="B41" s="119"/>
      <c r="C41" s="225">
        <f>C39+C40</f>
        <v>0</v>
      </c>
      <c r="D41" s="116">
        <f>D39+D40</f>
        <v>382435849.43256199</v>
      </c>
      <c r="E41" s="115">
        <f>E39+E40</f>
        <v>603830603.32572854</v>
      </c>
      <c r="F41" s="274"/>
      <c r="G41" s="115">
        <f>G39+G40</f>
        <v>362077737.16000021</v>
      </c>
      <c r="H41" s="115">
        <f>H39+H40</f>
        <v>560719871.66286421</v>
      </c>
      <c r="I41" s="274"/>
      <c r="J41" s="274"/>
      <c r="K41" s="190">
        <f>K39+K40</f>
        <v>556269712.32572854</v>
      </c>
    </row>
    <row r="42" spans="1:11" ht="11.25" customHeight="1" x14ac:dyDescent="0.25">
      <c r="A42" s="57" t="s">
        <v>646</v>
      </c>
      <c r="B42" s="58"/>
      <c r="C42" s="62"/>
      <c r="D42" s="62"/>
      <c r="E42" s="62"/>
      <c r="F42" s="62"/>
      <c r="G42" s="62"/>
      <c r="H42" s="62"/>
      <c r="I42" s="62"/>
      <c r="J42" s="62"/>
      <c r="K42" s="62"/>
    </row>
    <row r="43" spans="1:11" ht="11.25" customHeight="1" x14ac:dyDescent="0.25">
      <c r="A43" s="80" t="s">
        <v>145</v>
      </c>
      <c r="B43" s="58"/>
      <c r="C43" s="62"/>
      <c r="D43" s="62"/>
      <c r="E43" s="62"/>
      <c r="F43" s="62"/>
      <c r="G43" s="62"/>
      <c r="H43" s="62"/>
      <c r="I43" s="62"/>
      <c r="J43" s="62"/>
      <c r="K43" s="62"/>
    </row>
    <row r="44" spans="1:11" ht="11.25" customHeight="1" x14ac:dyDescent="0.25">
      <c r="B44" s="58"/>
      <c r="C44" s="62"/>
      <c r="D44" s="62"/>
      <c r="E44" s="62"/>
      <c r="F44" s="62"/>
      <c r="G44" s="62"/>
      <c r="H44" s="62"/>
      <c r="I44" s="62"/>
      <c r="J44" s="62"/>
      <c r="K44" s="62"/>
    </row>
    <row r="45" spans="1:11" ht="11.25" customHeight="1" x14ac:dyDescent="0.25">
      <c r="A45" s="80"/>
      <c r="B45" s="58"/>
      <c r="C45" s="62"/>
      <c r="D45" s="62"/>
      <c r="E45" s="62"/>
      <c r="F45" s="62"/>
      <c r="G45" s="62"/>
      <c r="H45" s="62"/>
      <c r="I45" s="62"/>
      <c r="J45" s="62"/>
      <c r="K45" s="62"/>
    </row>
    <row r="46" spans="1:11" ht="11.25" customHeight="1" x14ac:dyDescent="0.25">
      <c r="A46" s="81"/>
      <c r="B46" s="64"/>
      <c r="C46" s="689"/>
      <c r="D46" s="689"/>
      <c r="E46" s="689"/>
      <c r="F46" s="689"/>
      <c r="G46" s="689"/>
      <c r="H46" s="689"/>
      <c r="I46" s="689"/>
      <c r="J46" s="689"/>
      <c r="K46" s="689"/>
    </row>
    <row r="47" spans="1:11" ht="11.25" customHeight="1" x14ac:dyDescent="0.25"/>
    <row r="48" spans="1:11"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sheetData>
  <sheetProtection password="C646" sheet="1" objects="1" scenarios="1"/>
  <mergeCells count="3">
    <mergeCell ref="A2:A3"/>
    <mergeCell ref="B2:B3"/>
    <mergeCell ref="A1:K1"/>
  </mergeCells>
  <phoneticPr fontId="2" type="noConversion"/>
  <printOptions horizontalCentered="1"/>
  <pageMargins left="0.35433070866141736" right="0.16" top="0.78740157480314965" bottom="0.61" header="0.51181102362204722" footer="0.43307086614173229"/>
  <pageSetup paperSize="9" scale="8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indexed="42"/>
    <pageSetUpPr fitToPage="1"/>
  </sheetPr>
  <dimension ref="A1:E47"/>
  <sheetViews>
    <sheetView showGridLines="0" zoomScaleNormal="100" workbookViewId="0">
      <pane xSplit="2" ySplit="4" topLeftCell="C5" activePane="bottomRight" state="frozen"/>
      <selection pane="topRight"/>
      <selection pane="bottomLeft"/>
      <selection pane="bottomRight" sqref="A1:E1"/>
    </sheetView>
  </sheetViews>
  <sheetFormatPr defaultColWidth="9.140625" defaultRowHeight="12.75" x14ac:dyDescent="0.25"/>
  <cols>
    <col min="1" max="1" width="4" style="68" customWidth="1"/>
    <col min="2" max="2" width="25.7109375" style="25" customWidth="1"/>
    <col min="3" max="3" width="8.7109375" style="25" customWidth="1"/>
    <col min="4" max="5" width="35.7109375" style="25" customWidth="1"/>
    <col min="6" max="16384" width="9.140625" style="25"/>
  </cols>
  <sheetData>
    <row r="1" spans="1:5" ht="13.5" x14ac:dyDescent="0.25">
      <c r="A1" s="1053" t="str">
        <f>muni&amp; " - "&amp;S71G&amp; " - "&amp;date</f>
        <v>KZN225 Msunduzi - Supporting Table SC1 Material variance explanations  - Mid-Year Assessment</v>
      </c>
      <c r="B1" s="1053"/>
      <c r="C1" s="1053"/>
      <c r="D1" s="1053"/>
      <c r="E1" s="1053"/>
    </row>
    <row r="2" spans="1:5" x14ac:dyDescent="0.25">
      <c r="A2" s="1035" t="str">
        <f>head27</f>
        <v>Ref</v>
      </c>
      <c r="B2" s="1042" t="str">
        <f>desc</f>
        <v>Description</v>
      </c>
      <c r="C2" s="269"/>
      <c r="D2" s="269"/>
      <c r="E2" s="275"/>
    </row>
    <row r="3" spans="1:5" x14ac:dyDescent="0.25">
      <c r="A3" s="1046"/>
      <c r="B3" s="1043"/>
      <c r="C3" s="159" t="s">
        <v>438</v>
      </c>
      <c r="D3" s="159" t="s">
        <v>497</v>
      </c>
      <c r="E3" s="28" t="s">
        <v>498</v>
      </c>
    </row>
    <row r="4" spans="1:5" x14ac:dyDescent="0.25">
      <c r="A4" s="119"/>
      <c r="B4" s="34" t="s">
        <v>667</v>
      </c>
      <c r="C4" s="187"/>
      <c r="D4" s="157"/>
      <c r="E4" s="31"/>
    </row>
    <row r="5" spans="1:5" ht="11.25" customHeight="1" x14ac:dyDescent="0.25">
      <c r="A5" s="186">
        <v>1</v>
      </c>
      <c r="B5" s="180" t="str">
        <f>'C4-FinPerf RE'!A5</f>
        <v>Revenue By Source</v>
      </c>
      <c r="C5" s="179"/>
      <c r="D5" s="179"/>
      <c r="E5" s="179"/>
    </row>
    <row r="6" spans="1:5" ht="11.25" customHeight="1" x14ac:dyDescent="0.25">
      <c r="A6" s="169"/>
      <c r="B6" s="758"/>
      <c r="C6" s="748"/>
      <c r="D6" s="758"/>
      <c r="E6" s="758"/>
    </row>
    <row r="7" spans="1:5" ht="11.25" customHeight="1" x14ac:dyDescent="0.25">
      <c r="A7" s="169"/>
      <c r="B7" s="758"/>
      <c r="C7" s="748"/>
      <c r="D7" s="758"/>
      <c r="E7" s="758"/>
    </row>
    <row r="8" spans="1:5" ht="11.25" customHeight="1" x14ac:dyDescent="0.25">
      <c r="A8" s="169"/>
      <c r="B8" s="758"/>
      <c r="C8" s="748"/>
      <c r="D8" s="758"/>
      <c r="E8" s="758"/>
    </row>
    <row r="9" spans="1:5" ht="11.25" customHeight="1" x14ac:dyDescent="0.25">
      <c r="A9" s="169"/>
      <c r="B9" s="758"/>
      <c r="C9" s="748"/>
      <c r="D9" s="758"/>
      <c r="E9" s="758"/>
    </row>
    <row r="10" spans="1:5" ht="11.25" customHeight="1" x14ac:dyDescent="0.25">
      <c r="A10" s="169">
        <v>2</v>
      </c>
      <c r="B10" s="386" t="str">
        <f>'C4-FinPerf RE'!A24</f>
        <v>Expenditure By Type</v>
      </c>
      <c r="C10" s="387"/>
      <c r="D10" s="387"/>
      <c r="E10" s="387"/>
    </row>
    <row r="11" spans="1:5" ht="11.25" customHeight="1" x14ac:dyDescent="0.25">
      <c r="A11" s="169"/>
      <c r="B11" s="758"/>
      <c r="C11" s="748"/>
      <c r="D11" s="758"/>
      <c r="E11" s="758"/>
    </row>
    <row r="12" spans="1:5" ht="11.25" customHeight="1" x14ac:dyDescent="0.25">
      <c r="A12" s="169"/>
      <c r="B12" s="758"/>
      <c r="C12" s="748"/>
      <c r="D12" s="758"/>
      <c r="E12" s="758"/>
    </row>
    <row r="13" spans="1:5" ht="11.25" customHeight="1" x14ac:dyDescent="0.25">
      <c r="A13" s="169"/>
      <c r="B13" s="758"/>
      <c r="C13" s="748"/>
      <c r="D13" s="758"/>
      <c r="E13" s="758"/>
    </row>
    <row r="14" spans="1:5" ht="11.25" customHeight="1" x14ac:dyDescent="0.25">
      <c r="A14" s="169"/>
      <c r="B14" s="758"/>
      <c r="C14" s="748"/>
      <c r="D14" s="758"/>
      <c r="E14" s="758"/>
    </row>
    <row r="15" spans="1:5" ht="11.25" customHeight="1" x14ac:dyDescent="0.25">
      <c r="A15" s="169">
        <v>3</v>
      </c>
      <c r="B15" s="386" t="str">
        <f>RIGHT('C5-Capex'!A40,19)</f>
        <v>Capital Expenditure</v>
      </c>
      <c r="C15" s="387"/>
      <c r="D15" s="387"/>
      <c r="E15" s="387"/>
    </row>
    <row r="16" spans="1:5" ht="11.25" customHeight="1" x14ac:dyDescent="0.25">
      <c r="A16" s="169"/>
      <c r="B16" s="758"/>
      <c r="C16" s="748"/>
      <c r="D16" s="758"/>
      <c r="E16" s="758"/>
    </row>
    <row r="17" spans="1:5" ht="11.25" customHeight="1" x14ac:dyDescent="0.25">
      <c r="A17" s="169"/>
      <c r="B17" s="758"/>
      <c r="C17" s="748"/>
      <c r="D17" s="758"/>
      <c r="E17" s="758"/>
    </row>
    <row r="18" spans="1:5" ht="11.25" customHeight="1" x14ac:dyDescent="0.25">
      <c r="A18" s="169"/>
      <c r="B18" s="758"/>
      <c r="C18" s="748"/>
      <c r="D18" s="758"/>
      <c r="E18" s="758"/>
    </row>
    <row r="19" spans="1:5" ht="11.25" customHeight="1" x14ac:dyDescent="0.25">
      <c r="A19" s="169"/>
      <c r="B19" s="758"/>
      <c r="C19" s="748"/>
      <c r="D19" s="758"/>
      <c r="E19" s="758"/>
    </row>
    <row r="20" spans="1:5" ht="11.25" customHeight="1" x14ac:dyDescent="0.25">
      <c r="A20" s="169">
        <v>4</v>
      </c>
      <c r="B20" s="386" t="s">
        <v>79</v>
      </c>
      <c r="C20" s="387"/>
      <c r="D20" s="387"/>
      <c r="E20" s="387"/>
    </row>
    <row r="21" spans="1:5" ht="11.25" customHeight="1" x14ac:dyDescent="0.25">
      <c r="A21" s="169"/>
      <c r="B21" s="758"/>
      <c r="C21" s="748"/>
      <c r="D21" s="758"/>
      <c r="E21" s="758"/>
    </row>
    <row r="22" spans="1:5" ht="11.25" customHeight="1" x14ac:dyDescent="0.25">
      <c r="A22" s="169"/>
      <c r="B22" s="758"/>
      <c r="C22" s="748"/>
      <c r="D22" s="758"/>
      <c r="E22" s="758"/>
    </row>
    <row r="23" spans="1:5" ht="11.25" customHeight="1" x14ac:dyDescent="0.25">
      <c r="A23" s="169"/>
      <c r="B23" s="758"/>
      <c r="C23" s="748"/>
      <c r="D23" s="758"/>
      <c r="E23" s="758"/>
    </row>
    <row r="24" spans="1:5" ht="11.25" customHeight="1" x14ac:dyDescent="0.25">
      <c r="A24" s="169"/>
      <c r="B24" s="758"/>
      <c r="C24" s="748"/>
      <c r="D24" s="758"/>
      <c r="E24" s="758"/>
    </row>
    <row r="25" spans="1:5" ht="11.25" customHeight="1" x14ac:dyDescent="0.25">
      <c r="A25" s="169">
        <v>5</v>
      </c>
      <c r="B25" s="386" t="s">
        <v>80</v>
      </c>
      <c r="C25" s="387"/>
      <c r="D25" s="387"/>
      <c r="E25" s="387"/>
    </row>
    <row r="26" spans="1:5" ht="11.25" customHeight="1" x14ac:dyDescent="0.25">
      <c r="A26" s="169"/>
      <c r="B26" s="758"/>
      <c r="C26" s="748"/>
      <c r="D26" s="758"/>
      <c r="E26" s="758"/>
    </row>
    <row r="27" spans="1:5" ht="11.25" customHeight="1" x14ac:dyDescent="0.25">
      <c r="A27" s="169"/>
      <c r="B27" s="758"/>
      <c r="C27" s="748"/>
      <c r="D27" s="758"/>
      <c r="E27" s="758"/>
    </row>
    <row r="28" spans="1:5" ht="11.25" customHeight="1" x14ac:dyDescent="0.25">
      <c r="A28" s="169"/>
      <c r="B28" s="758"/>
      <c r="C28" s="748"/>
      <c r="D28" s="758"/>
      <c r="E28" s="758"/>
    </row>
    <row r="29" spans="1:5" ht="11.25" customHeight="1" x14ac:dyDescent="0.25">
      <c r="A29" s="169"/>
      <c r="B29" s="758"/>
      <c r="C29" s="748"/>
      <c r="D29" s="758"/>
      <c r="E29" s="758"/>
    </row>
    <row r="30" spans="1:5" ht="11.25" customHeight="1" x14ac:dyDescent="0.25">
      <c r="A30" s="169">
        <v>6</v>
      </c>
      <c r="B30" s="386" t="s">
        <v>81</v>
      </c>
      <c r="C30" s="388"/>
      <c r="D30" s="387"/>
      <c r="E30" s="387"/>
    </row>
    <row r="31" spans="1:5" ht="11.25" customHeight="1" x14ac:dyDescent="0.25">
      <c r="A31" s="169"/>
      <c r="B31" s="758"/>
      <c r="C31" s="748"/>
      <c r="D31" s="758"/>
      <c r="E31" s="758"/>
    </row>
    <row r="32" spans="1:5" ht="11.25" customHeight="1" x14ac:dyDescent="0.25">
      <c r="A32" s="169"/>
      <c r="B32" s="758"/>
      <c r="C32" s="748"/>
      <c r="D32" s="758"/>
      <c r="E32" s="758"/>
    </row>
    <row r="33" spans="1:5" ht="11.25" customHeight="1" x14ac:dyDescent="0.25">
      <c r="A33" s="169"/>
      <c r="B33" s="758"/>
      <c r="C33" s="748"/>
      <c r="D33" s="758"/>
      <c r="E33" s="758"/>
    </row>
    <row r="34" spans="1:5" ht="11.25" customHeight="1" x14ac:dyDescent="0.25">
      <c r="A34" s="169"/>
      <c r="B34" s="758"/>
      <c r="C34" s="748"/>
      <c r="D34" s="758"/>
      <c r="E34" s="758"/>
    </row>
    <row r="35" spans="1:5" ht="11.25" customHeight="1" x14ac:dyDescent="0.25">
      <c r="A35" s="169">
        <v>7</v>
      </c>
      <c r="B35" s="386" t="s">
        <v>82</v>
      </c>
      <c r="C35" s="388"/>
      <c r="D35" s="387"/>
      <c r="E35" s="387"/>
    </row>
    <row r="36" spans="1:5" ht="11.25" customHeight="1" x14ac:dyDescent="0.25">
      <c r="A36" s="169"/>
      <c r="B36" s="758"/>
      <c r="C36" s="748"/>
      <c r="D36" s="758"/>
      <c r="E36" s="758"/>
    </row>
    <row r="37" spans="1:5" ht="11.25" customHeight="1" x14ac:dyDescent="0.25">
      <c r="A37" s="169"/>
      <c r="B37" s="758"/>
      <c r="C37" s="748"/>
      <c r="D37" s="758"/>
      <c r="E37" s="758"/>
    </row>
    <row r="38" spans="1:5" ht="11.25" customHeight="1" x14ac:dyDescent="0.25">
      <c r="A38" s="169"/>
      <c r="B38" s="758"/>
      <c r="C38" s="748"/>
      <c r="D38" s="758"/>
      <c r="E38" s="758"/>
    </row>
    <row r="39" spans="1:5" ht="11.25" customHeight="1" x14ac:dyDescent="0.25">
      <c r="A39" s="169"/>
      <c r="B39" s="758"/>
      <c r="C39" s="748"/>
      <c r="D39" s="758"/>
      <c r="E39" s="758"/>
    </row>
    <row r="40" spans="1:5" ht="11.25" customHeight="1" x14ac:dyDescent="0.25">
      <c r="A40" s="119"/>
      <c r="B40" s="759"/>
      <c r="C40" s="760"/>
      <c r="D40" s="759"/>
      <c r="E40" s="759"/>
    </row>
    <row r="41" spans="1:5" ht="11.25" customHeight="1" x14ac:dyDescent="0.25">
      <c r="A41" s="78" t="str">
        <f>head27a</f>
        <v>References</v>
      </c>
      <c r="B41" s="67"/>
      <c r="C41" s="67"/>
      <c r="D41" s="67"/>
      <c r="E41" s="67"/>
    </row>
    <row r="42" spans="1:5" ht="11.25" customHeight="1" x14ac:dyDescent="0.25">
      <c r="A42" s="33" t="s">
        <v>854</v>
      </c>
    </row>
    <row r="43" spans="1:5" ht="11.25" customHeight="1" x14ac:dyDescent="0.25">
      <c r="A43" s="33" t="s">
        <v>855</v>
      </c>
    </row>
    <row r="44" spans="1:5" ht="11.25" customHeight="1" x14ac:dyDescent="0.25">
      <c r="A44" s="33" t="s">
        <v>856</v>
      </c>
    </row>
    <row r="45" spans="1:5" ht="11.25" customHeight="1" x14ac:dyDescent="0.25">
      <c r="A45" s="33" t="s">
        <v>857</v>
      </c>
    </row>
    <row r="46" spans="1:5" ht="11.25" customHeight="1" x14ac:dyDescent="0.25">
      <c r="A46" s="33" t="s">
        <v>858</v>
      </c>
    </row>
    <row r="47" spans="1:5" ht="11.25" customHeight="1" x14ac:dyDescent="0.25">
      <c r="A47" s="33" t="s">
        <v>439</v>
      </c>
    </row>
  </sheetData>
  <sheetProtection sheet="1" objects="1" scenarios="1"/>
  <mergeCells count="3">
    <mergeCell ref="A2:A3"/>
    <mergeCell ref="B2:B3"/>
    <mergeCell ref="A1:E1"/>
  </mergeCells>
  <phoneticPr fontId="2" type="noConversion"/>
  <printOptions horizontalCentered="1"/>
  <pageMargins left="0.37" right="0.14000000000000001" top="0.79" bottom="0.6" header="0.51181102362204722" footer="0.41"/>
  <pageSetup paperSize="9" scale="9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indexed="42"/>
    <pageSetUpPr fitToPage="1"/>
  </sheetPr>
  <dimension ref="A1:K66"/>
  <sheetViews>
    <sheetView showGridLines="0" zoomScaleNormal="100" workbookViewId="0">
      <pane xSplit="3" ySplit="4" topLeftCell="D8" activePane="bottomRight" state="frozen"/>
      <selection pane="topRight"/>
      <selection pane="bottomLeft"/>
      <selection pane="bottomRight" sqref="A1:H1"/>
    </sheetView>
  </sheetViews>
  <sheetFormatPr defaultColWidth="9.140625" defaultRowHeight="11.25" customHeight="1" x14ac:dyDescent="0.25"/>
  <cols>
    <col min="1" max="2" width="30.7109375" style="25" customWidth="1"/>
    <col min="3" max="3" width="3.140625" style="25" customWidth="1"/>
    <col min="4" max="8" width="8.7109375" style="25" customWidth="1"/>
    <col min="9" max="16384" width="9.140625" style="25"/>
  </cols>
  <sheetData>
    <row r="1" spans="1:11" ht="13.5" customHeight="1" x14ac:dyDescent="0.25">
      <c r="A1" s="1053" t="str">
        <f>muni&amp; " - "&amp;S71H&amp; " - "&amp;Head57</f>
        <v>KZN225 Msunduzi - Supporting Table SC2 Monthly Budget Statement - performance indicators   - Mid-Year Assessment</v>
      </c>
      <c r="B1" s="1053"/>
      <c r="C1" s="1053"/>
      <c r="D1" s="1053"/>
      <c r="E1" s="1053"/>
      <c r="F1" s="1053"/>
      <c r="G1" s="1053"/>
      <c r="H1" s="1053"/>
    </row>
    <row r="2" spans="1:11" ht="12.75" x14ac:dyDescent="0.25">
      <c r="A2" s="1058" t="s">
        <v>554</v>
      </c>
      <c r="B2" s="1042" t="s">
        <v>772</v>
      </c>
      <c r="C2" s="1035" t="str">
        <f>head27</f>
        <v>Ref</v>
      </c>
      <c r="D2" s="138" t="str">
        <f>Head1</f>
        <v>2019/20</v>
      </c>
      <c r="E2" s="245" t="str">
        <f>Head2</f>
        <v>Budget Year 2020/21</v>
      </c>
      <c r="F2" s="229"/>
      <c r="G2" s="229"/>
      <c r="H2" s="230"/>
    </row>
    <row r="3" spans="1:11" ht="25.5" x14ac:dyDescent="0.25">
      <c r="A3" s="1059"/>
      <c r="B3" s="1043"/>
      <c r="C3" s="1046"/>
      <c r="D3" s="326" t="str">
        <f>Head5</f>
        <v>Audited Outcome</v>
      </c>
      <c r="E3" s="257" t="str">
        <f>Head6</f>
        <v>Original Budget</v>
      </c>
      <c r="F3" s="141" t="str">
        <f>Head7</f>
        <v>Adjusted Budget</v>
      </c>
      <c r="G3" s="141" t="str">
        <f>Head39</f>
        <v>YearTD actual</v>
      </c>
      <c r="H3" s="164" t="str">
        <f>Head8</f>
        <v>Full Year Forecast</v>
      </c>
    </row>
    <row r="4" spans="1:11" ht="11.25" customHeight="1" x14ac:dyDescent="0.25">
      <c r="A4" s="34"/>
      <c r="B4" s="34"/>
      <c r="C4" s="119"/>
      <c r="D4" s="187"/>
      <c r="E4" s="246"/>
      <c r="F4" s="241"/>
      <c r="G4" s="82"/>
      <c r="H4" s="223"/>
    </row>
    <row r="5" spans="1:11" ht="12.75" customHeight="1" x14ac:dyDescent="0.25">
      <c r="A5" s="122" t="s">
        <v>516</v>
      </c>
      <c r="B5" s="131"/>
      <c r="C5" s="130"/>
      <c r="D5" s="389"/>
      <c r="E5" s="278"/>
      <c r="F5" s="279"/>
      <c r="G5" s="279"/>
      <c r="H5" s="280"/>
    </row>
    <row r="6" spans="1:11" ht="3.75" customHeight="1" x14ac:dyDescent="0.25">
      <c r="A6" s="126"/>
      <c r="B6" s="123"/>
      <c r="C6" s="174"/>
      <c r="D6" s="120"/>
      <c r="E6" s="282"/>
      <c r="F6" s="124"/>
      <c r="G6" s="124"/>
      <c r="H6" s="276"/>
      <c r="K6" s="98"/>
    </row>
    <row r="7" spans="1:11" ht="19.5" customHeight="1" x14ac:dyDescent="0.25">
      <c r="A7" s="126" t="s">
        <v>820</v>
      </c>
      <c r="B7" s="123" t="s">
        <v>83</v>
      </c>
      <c r="C7" s="174"/>
      <c r="D7" s="120">
        <f>IF(ISERROR((D42-D43)/D45),0,((D42-D43)/D45))</f>
        <v>0</v>
      </c>
      <c r="E7" s="282">
        <f>IF(ISERROR((E42+E44)/E45),0,((E42+E44)/E45))</f>
        <v>9.4577502287489235E-2</v>
      </c>
      <c r="F7" s="124">
        <f>IF(ISERROR((F42+F44)/F45),0,((F42+F44)/F45))</f>
        <v>9.3283911626512409E-2</v>
      </c>
      <c r="G7" s="124">
        <f>IF(ISERROR((G42+G44)/G45),0,((G42+G44)/G45))</f>
        <v>7.1589834870884302E-3</v>
      </c>
      <c r="H7" s="276">
        <f>IF(ISERROR((H42+H44)/H45),0,((H42+H44)/H45))</f>
        <v>1.620605417964396E-2</v>
      </c>
    </row>
    <row r="8" spans="1:11" ht="30" customHeight="1" x14ac:dyDescent="0.25">
      <c r="A8" s="126" t="s">
        <v>1056</v>
      </c>
      <c r="B8" s="123" t="s">
        <v>66</v>
      </c>
      <c r="C8" s="174"/>
      <c r="D8" s="120">
        <f>IF(ISERROR(D47/D46),0,(D47/D46))</f>
        <v>0</v>
      </c>
      <c r="E8" s="282">
        <f>IF(ISERROR(E47/E46),0,(E47/E46))</f>
        <v>0</v>
      </c>
      <c r="F8" s="124">
        <f>IF(ISERROR(F47/F46),0,(F47/F46))</f>
        <v>0</v>
      </c>
      <c r="G8" s="124">
        <f>IF(ISERROR(G47/G46),0,(G47/G46))</f>
        <v>0</v>
      </c>
      <c r="H8" s="276">
        <f>IF(ISERROR(H47/H46),0,(H47/H46))</f>
        <v>0</v>
      </c>
      <c r="J8" s="341"/>
    </row>
    <row r="9" spans="1:11" ht="12.75" customHeight="1" x14ac:dyDescent="0.25">
      <c r="A9" s="127" t="s">
        <v>736</v>
      </c>
      <c r="B9" s="123"/>
      <c r="C9" s="174"/>
      <c r="D9" s="120"/>
      <c r="E9" s="282"/>
      <c r="F9" s="124"/>
      <c r="G9" s="124"/>
      <c r="H9" s="276"/>
    </row>
    <row r="10" spans="1:11" ht="25.5" x14ac:dyDescent="0.25">
      <c r="A10" s="126" t="s">
        <v>7</v>
      </c>
      <c r="B10" s="123" t="s">
        <v>960</v>
      </c>
      <c r="C10" s="174"/>
      <c r="D10" s="120">
        <f>IF(ISERROR(D48/D49),0,(D48/D49))</f>
        <v>0</v>
      </c>
      <c r="E10" s="282">
        <f>IF(ISERROR(E48/E49),0,(E48/E49))</f>
        <v>0.16733458655357425</v>
      </c>
      <c r="F10" s="124">
        <f>IF(ISERROR(F48/F49),0,(F48/F49))</f>
        <v>0.19233200722427365</v>
      </c>
      <c r="G10" s="124">
        <f>IF(ISERROR(G48/G49),0,(G48/G49))</f>
        <v>0.17919048199375273</v>
      </c>
      <c r="H10" s="276">
        <f>IF(ISERROR(H48/H49),0,(H48/H49))</f>
        <v>0.19233200722427365</v>
      </c>
    </row>
    <row r="11" spans="1:11" ht="12.75" customHeight="1" x14ac:dyDescent="0.25">
      <c r="A11" s="126" t="s">
        <v>735</v>
      </c>
      <c r="B11" s="123" t="s">
        <v>719</v>
      </c>
      <c r="C11" s="174"/>
      <c r="D11" s="120">
        <f>IF(ISERROR(D51/D50),0,(D51/D50))</f>
        <v>0</v>
      </c>
      <c r="E11" s="282">
        <f>IF(ISERROR(E51/E50),0,(E51/E50))</f>
        <v>1.2322813430054802</v>
      </c>
      <c r="F11" s="124">
        <f>IF(ISERROR(F51/F50),0,(F51/F50))</f>
        <v>1.2322813430054802</v>
      </c>
      <c r="G11" s="124">
        <f>IF(ISERROR(G51/G50),0,(G51/G50))</f>
        <v>1.4992642432262115</v>
      </c>
      <c r="H11" s="276">
        <f>IF(ISERROR(H51/H50),0,(H51/H50))</f>
        <v>1.2322813430054802</v>
      </c>
    </row>
    <row r="12" spans="1:11" ht="12.75" customHeight="1" x14ac:dyDescent="0.25">
      <c r="A12" s="127" t="s">
        <v>737</v>
      </c>
      <c r="B12" s="123"/>
      <c r="C12" s="174"/>
      <c r="D12" s="120"/>
      <c r="E12" s="282"/>
      <c r="F12" s="124"/>
      <c r="G12" s="124"/>
      <c r="H12" s="276"/>
    </row>
    <row r="13" spans="1:11" ht="12.75" customHeight="1" x14ac:dyDescent="0.25">
      <c r="A13" s="126" t="s">
        <v>1057</v>
      </c>
      <c r="B13" s="123" t="s">
        <v>538</v>
      </c>
      <c r="C13" s="169">
        <v>1</v>
      </c>
      <c r="D13" s="120">
        <f>IF(ISERROR(D52/D53),0,(D52/D53))</f>
        <v>0</v>
      </c>
      <c r="E13" s="282">
        <f>IF(ISERROR(E52/E53),0,(E52/E53))</f>
        <v>2.0616681210508312</v>
      </c>
      <c r="F13" s="124">
        <f>IF(ISERROR(F52/F53),0,(F52/F53))</f>
        <v>1.9131893108001599</v>
      </c>
      <c r="G13" s="124">
        <f>IF(ISERROR(G52/G53),0,(G52/G53))</f>
        <v>2.2449030162799133</v>
      </c>
      <c r="H13" s="276">
        <f>IF(ISERROR(H52/H53),0,(H52/H53))</f>
        <v>1.9131893108001599</v>
      </c>
    </row>
    <row r="14" spans="1:11" ht="12.75" customHeight="1" x14ac:dyDescent="0.25">
      <c r="A14" s="126" t="s">
        <v>738</v>
      </c>
      <c r="B14" s="123" t="s">
        <v>436</v>
      </c>
      <c r="C14" s="174"/>
      <c r="D14" s="120">
        <f>IF(ISERROR(D54/D53),0,(D54/D53))</f>
        <v>0</v>
      </c>
      <c r="E14" s="282">
        <f>IF(ISERROR(E54/E53),0,(E54/E53))</f>
        <v>0.26526391167695329</v>
      </c>
      <c r="F14" s="124">
        <f>IF(ISERROR(F54/F53),0,(F54/F53))</f>
        <v>0.36172087582952223</v>
      </c>
      <c r="G14" s="124">
        <f>IF(ISERROR(G54/G53),0,(G54/G53))</f>
        <v>0.19847851928912816</v>
      </c>
      <c r="H14" s="276">
        <f>IF(ISERROR(H54/H53),0,(H54/H53))</f>
        <v>0.36172087582952223</v>
      </c>
    </row>
    <row r="15" spans="1:11" ht="12.75" customHeight="1" x14ac:dyDescent="0.25">
      <c r="A15" s="127" t="s">
        <v>437</v>
      </c>
      <c r="B15" s="123"/>
      <c r="C15" s="174"/>
      <c r="D15" s="120"/>
      <c r="E15" s="282"/>
      <c r="F15" s="124"/>
      <c r="G15" s="124"/>
      <c r="H15" s="276"/>
    </row>
    <row r="16" spans="1:11" ht="25.5" x14ac:dyDescent="0.25">
      <c r="A16" s="126" t="s">
        <v>500</v>
      </c>
      <c r="B16" s="123" t="s">
        <v>469</v>
      </c>
      <c r="C16" s="174"/>
      <c r="D16" s="120"/>
      <c r="E16" s="282"/>
      <c r="F16" s="124"/>
      <c r="G16" s="124"/>
      <c r="H16" s="276"/>
    </row>
    <row r="17" spans="1:8" ht="12.75" customHeight="1" x14ac:dyDescent="0.25">
      <c r="A17" s="126" t="s">
        <v>470</v>
      </c>
      <c r="B17" s="123" t="s">
        <v>640</v>
      </c>
      <c r="C17" s="174"/>
      <c r="D17" s="120">
        <f>IF(ISERROR(D59/D55),0,(D59/D55))</f>
        <v>0</v>
      </c>
      <c r="E17" s="282">
        <f>IF(ISERROR(E59/E55),0,(E59/E55))</f>
        <v>0.43153265012765485</v>
      </c>
      <c r="F17" s="124">
        <f>IF(ISERROR(F59/F55),0,(F59/F55))</f>
        <v>0.42513898128601507</v>
      </c>
      <c r="G17" s="124">
        <f>IF(ISERROR(G59/G55),0,(G59/G55))</f>
        <v>0.74576578391253245</v>
      </c>
      <c r="H17" s="276">
        <f>IF(ISERROR(H59/H55),0,(H59/H55))</f>
        <v>0.42513898128601507</v>
      </c>
    </row>
    <row r="18" spans="1:8" ht="25.5" x14ac:dyDescent="0.25">
      <c r="A18" s="126" t="s">
        <v>1058</v>
      </c>
      <c r="B18" s="123" t="s">
        <v>501</v>
      </c>
      <c r="C18" s="174"/>
      <c r="D18" s="390">
        <f>IF(ISERROR(D64/D63),0,(D64/D63))</f>
        <v>0</v>
      </c>
      <c r="E18" s="391">
        <f>IF(ISERROR(E64/E63),0,(E64/E63))</f>
        <v>0</v>
      </c>
      <c r="F18" s="392">
        <f>IF(ISERROR(F64/F63),0,(F64/F63))</f>
        <v>0</v>
      </c>
      <c r="G18" s="392">
        <f>IF(ISERROR(G64/G63),0,(G64/G63))</f>
        <v>0</v>
      </c>
      <c r="H18" s="393">
        <f>IF(ISERROR(H64/H63),0,(H64/H63))</f>
        <v>0</v>
      </c>
    </row>
    <row r="19" spans="1:8" ht="12.75" customHeight="1" x14ac:dyDescent="0.25">
      <c r="A19" s="127" t="s">
        <v>8</v>
      </c>
      <c r="B19" s="123"/>
      <c r="C19" s="174"/>
      <c r="D19" s="120"/>
      <c r="E19" s="282"/>
      <c r="F19" s="124"/>
      <c r="G19" s="124"/>
      <c r="H19" s="276"/>
    </row>
    <row r="20" spans="1:8" ht="25.5" x14ac:dyDescent="0.25">
      <c r="A20" s="126" t="s">
        <v>9</v>
      </c>
      <c r="B20" s="123" t="s">
        <v>792</v>
      </c>
      <c r="C20" s="174"/>
      <c r="D20" s="761"/>
      <c r="E20" s="762"/>
      <c r="F20" s="763"/>
      <c r="G20" s="763"/>
      <c r="H20" s="764"/>
    </row>
    <row r="21" spans="1:8" ht="12.75" customHeight="1" x14ac:dyDescent="0.25">
      <c r="A21" s="127" t="s">
        <v>512</v>
      </c>
      <c r="B21" s="123"/>
      <c r="C21" s="174"/>
      <c r="D21" s="120"/>
      <c r="E21" s="282"/>
      <c r="F21" s="124"/>
      <c r="G21" s="124"/>
      <c r="H21" s="276"/>
    </row>
    <row r="22" spans="1:8" ht="12.75" customHeight="1" x14ac:dyDescent="0.25">
      <c r="A22" s="126" t="s">
        <v>513</v>
      </c>
      <c r="B22" s="123" t="s">
        <v>514</v>
      </c>
      <c r="C22" s="174"/>
      <c r="D22" s="120"/>
      <c r="E22" s="282"/>
      <c r="F22" s="124"/>
      <c r="G22" s="124"/>
      <c r="H22" s="276"/>
    </row>
    <row r="23" spans="1:8" ht="12.75" customHeight="1" x14ac:dyDescent="0.25">
      <c r="A23" s="127" t="s">
        <v>515</v>
      </c>
      <c r="B23" s="123"/>
      <c r="C23" s="174"/>
      <c r="D23" s="120"/>
      <c r="E23" s="282"/>
      <c r="F23" s="124"/>
      <c r="G23" s="124"/>
      <c r="H23" s="276"/>
    </row>
    <row r="24" spans="1:8" ht="27.75" customHeight="1" x14ac:dyDescent="0.25">
      <c r="A24" s="126" t="s">
        <v>503</v>
      </c>
      <c r="B24" s="546" t="s">
        <v>67</v>
      </c>
      <c r="C24" s="251">
        <v>2</v>
      </c>
      <c r="D24" s="761"/>
      <c r="E24" s="762"/>
      <c r="F24" s="763"/>
      <c r="G24" s="763"/>
      <c r="H24" s="764"/>
    </row>
    <row r="25" spans="1:8" ht="27.75" customHeight="1" x14ac:dyDescent="0.25">
      <c r="A25" s="126" t="s">
        <v>502</v>
      </c>
      <c r="B25" s="546" t="s">
        <v>68</v>
      </c>
      <c r="C25" s="251">
        <v>2</v>
      </c>
      <c r="D25" s="761"/>
      <c r="E25" s="762"/>
      <c r="F25" s="763"/>
      <c r="G25" s="763"/>
      <c r="H25" s="764"/>
    </row>
    <row r="26" spans="1:8" ht="27.75" customHeight="1" x14ac:dyDescent="0.25">
      <c r="A26" s="126" t="s">
        <v>475</v>
      </c>
      <c r="B26" s="123" t="s">
        <v>757</v>
      </c>
      <c r="C26" s="174"/>
      <c r="D26" s="120">
        <f>IF(ISERROR(D40/D55),0,(D40/D55))</f>
        <v>0</v>
      </c>
      <c r="E26" s="282">
        <f>IF(ISERROR(E40/E55),0,(E40/E55))</f>
        <v>0.2498093445303802</v>
      </c>
      <c r="F26" s="124">
        <f>IF(ISERROR(F40/F55),0,(F40/F55))</f>
        <v>0.24610812278086786</v>
      </c>
      <c r="G26" s="124">
        <f>IF(ISERROR(G40/G55),0,(G40/G55))</f>
        <v>0.23113551609100422</v>
      </c>
      <c r="H26" s="276">
        <f>IF(ISERROR(H40/H55),0,(H40/H55))</f>
        <v>0.24610812278086786</v>
      </c>
    </row>
    <row r="27" spans="1:8" ht="27.75" customHeight="1" x14ac:dyDescent="0.25">
      <c r="A27" s="126" t="s">
        <v>755</v>
      </c>
      <c r="B27" s="123" t="s">
        <v>758</v>
      </c>
      <c r="C27" s="174"/>
      <c r="D27" s="120">
        <f>IF(ISERROR(D41/D55),0,(D41/D55))</f>
        <v>0</v>
      </c>
      <c r="E27" s="282">
        <f>IF(ISERROR(E41/E55),0,(E41/E55))</f>
        <v>0</v>
      </c>
      <c r="F27" s="124">
        <f>IF(ISERROR(F41/F55),0,(F41/F55))</f>
        <v>0</v>
      </c>
      <c r="G27" s="124">
        <f>IF(ISERROR(G41/G55),0,(G41/G55))</f>
        <v>0</v>
      </c>
      <c r="H27" s="276">
        <f>IF(ISERROR(H41/H55),0,(H41/H55))</f>
        <v>0</v>
      </c>
    </row>
    <row r="28" spans="1:8" ht="27.75" customHeight="1" x14ac:dyDescent="0.25">
      <c r="A28" s="126" t="s">
        <v>756</v>
      </c>
      <c r="B28" s="123" t="s">
        <v>739</v>
      </c>
      <c r="C28" s="174"/>
      <c r="D28" s="120">
        <f>IF(ISERROR((D42+D44)/D55),0,((D42+D44)/D55))</f>
        <v>0</v>
      </c>
      <c r="E28" s="282">
        <f>IF(ISERROR((E42+E44)/E55),0,((E42+E44)/E55))</f>
        <v>8.8163465498190249E-2</v>
      </c>
      <c r="F28" s="124">
        <f>IF(ISERROR((F42+F44)/F55),0,((F42+F44)/F55))</f>
        <v>8.6393099378594004E-2</v>
      </c>
      <c r="G28" s="124">
        <f>IF(ISERROR((G42+G44)/G55),0,((G42+G44)/G55))</f>
        <v>6.38235677512338E-3</v>
      </c>
      <c r="H28" s="276">
        <f>IF(ISERROR((H42+H44)/H55),0,((H42+H44)/H55))</f>
        <v>1.5008925171175354E-2</v>
      </c>
    </row>
    <row r="29" spans="1:8" ht="12.75" customHeight="1" x14ac:dyDescent="0.25">
      <c r="A29" s="281" t="s">
        <v>651</v>
      </c>
      <c r="B29" s="128"/>
      <c r="C29" s="283"/>
      <c r="D29" s="120"/>
      <c r="E29" s="282"/>
      <c r="F29" s="124"/>
      <c r="G29" s="124"/>
      <c r="H29" s="276"/>
    </row>
    <row r="30" spans="1:8" ht="27.75" customHeight="1" x14ac:dyDescent="0.25">
      <c r="A30" s="126" t="s">
        <v>652</v>
      </c>
      <c r="B30" s="123" t="s">
        <v>788</v>
      </c>
      <c r="C30" s="174"/>
      <c r="D30" s="761"/>
      <c r="E30" s="762"/>
      <c r="F30" s="763"/>
      <c r="G30" s="763"/>
      <c r="H30" s="764"/>
    </row>
    <row r="31" spans="1:8" ht="25.5" x14ac:dyDescent="0.25">
      <c r="A31" s="126" t="s">
        <v>793</v>
      </c>
      <c r="B31" s="123" t="s">
        <v>491</v>
      </c>
      <c r="C31" s="174"/>
      <c r="D31" s="761"/>
      <c r="E31" s="762"/>
      <c r="F31" s="763"/>
      <c r="G31" s="763"/>
      <c r="H31" s="764"/>
    </row>
    <row r="32" spans="1:8" ht="25.5" x14ac:dyDescent="0.25">
      <c r="A32" s="277" t="s">
        <v>653</v>
      </c>
      <c r="B32" s="132" t="s">
        <v>445</v>
      </c>
      <c r="C32" s="178"/>
      <c r="D32" s="765"/>
      <c r="E32" s="766"/>
      <c r="F32" s="767"/>
      <c r="G32" s="767"/>
      <c r="H32" s="768"/>
    </row>
    <row r="33" spans="1:9" ht="12.75" customHeight="1" x14ac:dyDescent="0.25">
      <c r="A33" s="57" t="s">
        <v>646</v>
      </c>
      <c r="B33" s="67"/>
      <c r="C33" s="67"/>
      <c r="D33" s="125"/>
      <c r="E33" s="125"/>
      <c r="F33" s="125"/>
      <c r="G33" s="125"/>
      <c r="H33" s="125"/>
      <c r="I33" s="67"/>
    </row>
    <row r="34" spans="1:9" ht="12.75" customHeight="1" x14ac:dyDescent="0.25">
      <c r="A34" s="60" t="s">
        <v>504</v>
      </c>
      <c r="B34" s="67"/>
      <c r="C34" s="67"/>
      <c r="D34" s="67"/>
      <c r="E34" s="67"/>
      <c r="F34" s="67"/>
      <c r="G34" s="67"/>
      <c r="H34" s="67"/>
    </row>
    <row r="35" spans="1:9" ht="12.75" customHeight="1" x14ac:dyDescent="0.25">
      <c r="A35" s="121" t="s">
        <v>895</v>
      </c>
    </row>
    <row r="36" spans="1:9" ht="12.75" customHeight="1" x14ac:dyDescent="0.25"/>
    <row r="37" spans="1:9" ht="12.75" customHeight="1" x14ac:dyDescent="0.25">
      <c r="A37" s="338" t="s">
        <v>526</v>
      </c>
      <c r="B37" s="336"/>
      <c r="C37" s="336"/>
      <c r="D37" s="336"/>
      <c r="E37" s="336"/>
      <c r="F37" s="336"/>
      <c r="G37" s="336"/>
      <c r="H37" s="339"/>
    </row>
    <row r="38" spans="1:9" ht="12.75" customHeight="1" x14ac:dyDescent="0.25">
      <c r="A38" s="42" t="str">
        <f>'C6-FinPos'!A38</f>
        <v>Borrowing</v>
      </c>
      <c r="B38" s="67"/>
      <c r="C38" s="67"/>
      <c r="D38" s="84">
        <f>'C6-FinPos'!C38</f>
        <v>0</v>
      </c>
      <c r="E38" s="84">
        <f>'C6-FinPos'!D38</f>
        <v>282085537</v>
      </c>
      <c r="F38" s="84">
        <f>'C6-FinPos'!E38</f>
        <v>282085537</v>
      </c>
      <c r="G38" s="97">
        <f>'C6-FinPos'!F38</f>
        <v>285317995.64999998</v>
      </c>
      <c r="H38" s="48">
        <v>0</v>
      </c>
    </row>
    <row r="39" spans="1:9" ht="12.75" customHeight="1" x14ac:dyDescent="0.25">
      <c r="A39" s="42" t="s">
        <v>528</v>
      </c>
      <c r="B39" s="67"/>
      <c r="C39" s="67"/>
      <c r="D39" s="84">
        <f>'C6-FinPos'!C26</f>
        <v>0</v>
      </c>
      <c r="E39" s="84">
        <f>'C6-FinPos'!D26</f>
        <v>11312770417.220949</v>
      </c>
      <c r="F39" s="84">
        <f>'C6-FinPos'!E26</f>
        <v>11582765170.838354</v>
      </c>
      <c r="G39" s="97">
        <f>'C6-FinPos'!F26</f>
        <v>10733428891.150002</v>
      </c>
      <c r="H39" s="48">
        <f>'C6-FinPos'!G26</f>
        <v>11582765170.838354</v>
      </c>
    </row>
    <row r="40" spans="1:9" ht="12.75" customHeight="1" x14ac:dyDescent="0.25">
      <c r="A40" s="42" t="str">
        <f>'C4-FinPerf RE'!A25</f>
        <v>Employee related costs</v>
      </c>
      <c r="B40" s="67"/>
      <c r="C40" s="67"/>
      <c r="D40" s="84">
        <f>'C4-FinPerf RE'!C25</f>
        <v>0</v>
      </c>
      <c r="E40" s="84">
        <f>'C4-FinPerf RE'!D25</f>
        <v>1478324301.5741799</v>
      </c>
      <c r="F40" s="84">
        <f>'C4-FinPerf RE'!E25</f>
        <v>1478324304.2495084</v>
      </c>
      <c r="G40" s="97">
        <f>'C4-FinPerf RE'!G25</f>
        <v>706305561.33999932</v>
      </c>
      <c r="H40" s="48">
        <f>'C4-FinPerf RE'!K25</f>
        <v>1478324304.2495084</v>
      </c>
    </row>
    <row r="41" spans="1:9" ht="12.75" customHeight="1" x14ac:dyDescent="0.25">
      <c r="A41" s="42" t="str">
        <f>A27</f>
        <v>Repairs &amp; Maintenance</v>
      </c>
      <c r="B41" s="67"/>
      <c r="C41" s="67"/>
      <c r="D41" s="769"/>
      <c r="E41" s="769"/>
      <c r="F41" s="769"/>
      <c r="G41" s="769"/>
      <c r="H41" s="770"/>
    </row>
    <row r="42" spans="1:9" ht="12.75" customHeight="1" x14ac:dyDescent="0.25">
      <c r="A42" s="42" t="s">
        <v>529</v>
      </c>
      <c r="B42" s="67"/>
      <c r="C42" s="67"/>
      <c r="D42" s="84">
        <f>'C4-FinPerf RE'!C29</f>
        <v>0</v>
      </c>
      <c r="E42" s="84">
        <f>'C4-FinPerf RE'!D29</f>
        <v>31793212.220000003</v>
      </c>
      <c r="F42" s="84">
        <f>'C4-FinPerf RE'!E29</f>
        <v>36505334.219999969</v>
      </c>
      <c r="G42" s="97">
        <f>'C4-FinPerf RE'!G29</f>
        <v>19503251.430000003</v>
      </c>
      <c r="H42" s="48">
        <f>'C4-FinPerf RE'!K29</f>
        <v>36505334.219999969</v>
      </c>
    </row>
    <row r="43" spans="1:9" ht="12.75" customHeight="1" x14ac:dyDescent="0.25">
      <c r="A43" s="42" t="s">
        <v>84</v>
      </c>
      <c r="B43" s="67"/>
      <c r="C43" s="67"/>
      <c r="D43" s="84">
        <f>-'C7-CFlow'!C36</f>
        <v>0</v>
      </c>
      <c r="E43" s="84">
        <f>-'C7-CFlow'!D36</f>
        <v>79206000</v>
      </c>
      <c r="F43" s="84">
        <f>-'C7-CFlow'!E36</f>
        <v>79206000</v>
      </c>
      <c r="G43" s="97">
        <f>-'C7-CFlow'!G36</f>
        <v>20256190.370000001</v>
      </c>
      <c r="H43" s="48">
        <f>-'C7-CFlow'!K36</f>
        <v>79206000</v>
      </c>
    </row>
    <row r="44" spans="1:9" ht="12.75" customHeight="1" x14ac:dyDescent="0.25">
      <c r="A44" s="42" t="s">
        <v>530</v>
      </c>
      <c r="B44" s="67"/>
      <c r="C44" s="67"/>
      <c r="D44" s="84">
        <f>'C4-FinPerf RE'!C28</f>
        <v>0</v>
      </c>
      <c r="E44" s="84">
        <f>'C4-FinPerf RE'!D28</f>
        <v>489941448.27473986</v>
      </c>
      <c r="F44" s="84">
        <f>'C4-FinPerf RE'!E28</f>
        <v>482441448.55050021</v>
      </c>
      <c r="G44" s="97"/>
      <c r="H44" s="48">
        <f>'C4-FinPerf RE'!K26</f>
        <v>53650401.439999998</v>
      </c>
    </row>
    <row r="45" spans="1:9" ht="12.75" customHeight="1" x14ac:dyDescent="0.25">
      <c r="A45" s="42" t="s">
        <v>0</v>
      </c>
      <c r="B45" s="67"/>
      <c r="C45" s="67"/>
      <c r="D45" s="84">
        <f>'C4-FinPerf RE'!C36</f>
        <v>0</v>
      </c>
      <c r="E45" s="84">
        <f>'C4-FinPerf RE'!D36</f>
        <v>5516477469.5446281</v>
      </c>
      <c r="F45" s="84">
        <f>'C4-FinPerf RE'!E36</f>
        <v>5563089858.9270697</v>
      </c>
      <c r="G45" s="97">
        <f>'C4-FinPerf RE'!G36</f>
        <v>2724304569.9399996</v>
      </c>
      <c r="H45" s="48">
        <f>'C4-FinPerf RE'!K36</f>
        <v>5563089858.9270697</v>
      </c>
    </row>
    <row r="46" spans="1:9" ht="12.75" customHeight="1" x14ac:dyDescent="0.25">
      <c r="A46" s="42" t="str">
        <f>'C5-Capex'!A40</f>
        <v>Total Capital Expenditure</v>
      </c>
      <c r="B46" s="67"/>
      <c r="C46" s="67"/>
      <c r="D46" s="84">
        <f>'C5-Capex'!C40</f>
        <v>0</v>
      </c>
      <c r="E46" s="84">
        <f>'C5-Capex'!D40</f>
        <v>580891581</v>
      </c>
      <c r="F46" s="84">
        <f>'C5-Capex'!E40</f>
        <v>621991581</v>
      </c>
      <c r="G46" s="97">
        <f>'C5-Capex'!G40</f>
        <v>246936010.84999999</v>
      </c>
      <c r="H46" s="48">
        <f>'C5-Capex'!K40</f>
        <v>621991581</v>
      </c>
    </row>
    <row r="47" spans="1:9" ht="12.75" customHeight="1" x14ac:dyDescent="0.25">
      <c r="A47" s="42" t="s">
        <v>533</v>
      </c>
      <c r="B47" s="67"/>
      <c r="C47" s="67"/>
      <c r="D47" s="84">
        <f>'C5-Capex'!C72</f>
        <v>0</v>
      </c>
      <c r="E47" s="84">
        <f>'C5-Capex'!D72</f>
        <v>0</v>
      </c>
      <c r="F47" s="84">
        <f>'C5-Capex'!E72</f>
        <v>0</v>
      </c>
      <c r="G47" s="97">
        <f>'C5-Capex'!G72</f>
        <v>0</v>
      </c>
      <c r="H47" s="48">
        <f>'C5-Capex'!K72</f>
        <v>0</v>
      </c>
    </row>
    <row r="48" spans="1:9" ht="12.75" customHeight="1" x14ac:dyDescent="0.25">
      <c r="A48" s="42" t="s">
        <v>531</v>
      </c>
      <c r="B48" s="67"/>
      <c r="C48" s="67"/>
      <c r="D48" s="84">
        <f>'C6-FinPos'!C30+'C6-FinPos'!C31+'C6-FinPos'!C33+'C6-FinPos'!C38</f>
        <v>0</v>
      </c>
      <c r="E48" s="84">
        <f>'C6-FinPos'!D30+'C6-FinPos'!D31+'C6-FinPos'!D33+'C6-FinPos'!D38</f>
        <v>1469061645.9769487</v>
      </c>
      <c r="F48" s="84">
        <f>'C6-FinPos'!E30+'C6-FinPos'!E31+'C6-FinPos'!E33+'C6-FinPos'!E38</f>
        <v>1696670788.9767978</v>
      </c>
      <c r="G48" s="84">
        <f>'C6-FinPos'!F30+'C6-FinPos'!F31+'C6-FinPos'!F33+'C6-FinPos'!F38</f>
        <v>1525214652.96</v>
      </c>
      <c r="H48" s="48">
        <f>'C6-FinPos'!G30+'C6-FinPos'!G31+'C6-FinPos'!G33+'C6-FinPos'!G38</f>
        <v>1696670788.9767978</v>
      </c>
    </row>
    <row r="49" spans="1:8" ht="12.75" customHeight="1" x14ac:dyDescent="0.25">
      <c r="A49" s="42" t="s">
        <v>532</v>
      </c>
      <c r="B49" s="67"/>
      <c r="C49" s="67"/>
      <c r="D49" s="84">
        <f>'C6-FinPos'!C48</f>
        <v>0</v>
      </c>
      <c r="E49" s="84">
        <f>'C6-FinPos'!D48</f>
        <v>8779187113.8762474</v>
      </c>
      <c r="F49" s="84">
        <f>'C6-FinPos'!E48</f>
        <v>8821572724.4938049</v>
      </c>
      <c r="G49" s="97">
        <f>'C6-FinPos'!F48</f>
        <v>8511694572.1100016</v>
      </c>
      <c r="H49" s="48">
        <f>'C6-FinPos'!G48</f>
        <v>8821572724.4938049</v>
      </c>
    </row>
    <row r="50" spans="1:8" ht="12.75" customHeight="1" x14ac:dyDescent="0.25">
      <c r="A50" s="42" t="str">
        <f>'C6-FinPos'!A47</f>
        <v>Reserves</v>
      </c>
      <c r="B50" s="67"/>
      <c r="C50" s="67"/>
      <c r="D50" s="84">
        <f>'C6-FinPos'!C47</f>
        <v>0</v>
      </c>
      <c r="E50" s="84">
        <f>'C6-FinPos'!D47</f>
        <v>228913258</v>
      </c>
      <c r="F50" s="84">
        <f>'C6-FinPos'!E47</f>
        <v>228913258</v>
      </c>
      <c r="G50" s="97">
        <f>'C6-FinPos'!F47</f>
        <v>190305342.73000115</v>
      </c>
      <c r="H50" s="48">
        <f>'C6-FinPos'!G47</f>
        <v>228913258</v>
      </c>
    </row>
    <row r="51" spans="1:8" ht="12.75" customHeight="1" x14ac:dyDescent="0.25">
      <c r="A51" s="42" t="str">
        <f>'C6-FinPos'!A38</f>
        <v>Borrowing</v>
      </c>
      <c r="B51" s="67"/>
      <c r="C51" s="67"/>
      <c r="D51" s="84">
        <f>'C6-FinPos'!C38</f>
        <v>0</v>
      </c>
      <c r="E51" s="84">
        <f>'C6-FinPos'!D38</f>
        <v>282085537</v>
      </c>
      <c r="F51" s="84">
        <f>'C6-FinPos'!E38</f>
        <v>282085537</v>
      </c>
      <c r="G51" s="97">
        <f>'C6-FinPos'!F38</f>
        <v>285317995.64999998</v>
      </c>
      <c r="H51" s="48">
        <f>'C6-FinPos'!G38</f>
        <v>282085537</v>
      </c>
    </row>
    <row r="52" spans="1:8" ht="12.75" customHeight="1" x14ac:dyDescent="0.25">
      <c r="A52" s="42" t="str">
        <f>'C6-FinPos'!A6</f>
        <v>Current assets</v>
      </c>
      <c r="B52" s="67"/>
      <c r="C52" s="67"/>
      <c r="D52" s="84">
        <f>'C6-FinPos'!C13</f>
        <v>0</v>
      </c>
      <c r="E52" s="84">
        <f>'C6-FinPos'!D13</f>
        <v>2972344764.6444831</v>
      </c>
      <c r="F52" s="84">
        <f>'C6-FinPos'!E13</f>
        <v>3193739518.5376496</v>
      </c>
      <c r="G52" s="97">
        <f>'C6-FinPos'!F13</f>
        <v>3146554829.3199992</v>
      </c>
      <c r="H52" s="48">
        <f>'C6-FinPos'!G13</f>
        <v>3193739518.5376496</v>
      </c>
    </row>
    <row r="53" spans="1:8" ht="12.75" customHeight="1" x14ac:dyDescent="0.25">
      <c r="A53" s="42" t="str">
        <f>'C6-FinPos'!A29</f>
        <v>Current liabilities</v>
      </c>
      <c r="B53" s="67"/>
      <c r="C53" s="67"/>
      <c r="D53" s="84">
        <f>'C6-FinPos'!C35</f>
        <v>0</v>
      </c>
      <c r="E53" s="84">
        <f>'C6-FinPos'!D35</f>
        <v>1441718351.4141357</v>
      </c>
      <c r="F53" s="84">
        <f>'C6-FinPos'!E35</f>
        <v>1669327494.413985</v>
      </c>
      <c r="G53" s="97">
        <f>'C6-FinPos'!F35</f>
        <v>1401643993.75</v>
      </c>
      <c r="H53" s="48">
        <f>'C6-FinPos'!G35</f>
        <v>1669327494.413985</v>
      </c>
    </row>
    <row r="54" spans="1:8" ht="12.75" customHeight="1" x14ac:dyDescent="0.25">
      <c r="A54" s="42" t="s">
        <v>534</v>
      </c>
      <c r="B54" s="67"/>
      <c r="C54" s="67"/>
      <c r="D54" s="84">
        <f>'C6-FinPos'!C7+'C6-FinPos'!C8</f>
        <v>0</v>
      </c>
      <c r="E54" s="84">
        <f>'C6-FinPos'!D7+'C6-FinPos'!D8</f>
        <v>382435849.43256199</v>
      </c>
      <c r="F54" s="84">
        <f>'C6-FinPos'!E7+'C6-FinPos'!E8</f>
        <v>603830603.32572854</v>
      </c>
      <c r="G54" s="97">
        <f>'C6-FinPos'!F7+'C6-FinPos'!F8</f>
        <v>278196224.44999999</v>
      </c>
      <c r="H54" s="48">
        <f>'C6-FinPos'!G7+'C6-FinPos'!G8</f>
        <v>603830603.32572854</v>
      </c>
    </row>
    <row r="55" spans="1:8" ht="12.75" customHeight="1" x14ac:dyDescent="0.25">
      <c r="A55" s="42" t="str">
        <f>'C4-FinPerf RE'!A22</f>
        <v>Total Revenue (excluding capital transfers and contributions)</v>
      </c>
      <c r="B55" s="67"/>
      <c r="C55" s="67"/>
      <c r="D55" s="84">
        <f>'C4-FinPerf RE'!C22</f>
        <v>0</v>
      </c>
      <c r="E55" s="84">
        <f>'C4-FinPerf RE'!D22</f>
        <v>5917810257.8720617</v>
      </c>
      <c r="F55" s="84">
        <f>'C4-FinPerf RE'!E22</f>
        <v>6006808257.8720617</v>
      </c>
      <c r="G55" s="97">
        <f>'C4-FinPerf RE'!G22</f>
        <v>3055807144.1599998</v>
      </c>
      <c r="H55" s="48">
        <f>'C4-FinPerf RE'!K22</f>
        <v>6006808257.8720617</v>
      </c>
    </row>
    <row r="56" spans="1:8" ht="12.75" customHeight="1" x14ac:dyDescent="0.25">
      <c r="A56" s="42" t="str">
        <f>'C4-FinPerf RE'!A19</f>
        <v>Transfers and subsidies</v>
      </c>
      <c r="B56" s="67"/>
      <c r="C56" s="67"/>
      <c r="D56" s="84">
        <f>'C4-FinPerf RE'!C19</f>
        <v>0</v>
      </c>
      <c r="E56" s="84">
        <f>'C4-FinPerf RE'!D19</f>
        <v>675483240</v>
      </c>
      <c r="F56" s="84">
        <f>'C4-FinPerf RE'!E19</f>
        <v>764481240</v>
      </c>
      <c r="G56" s="97">
        <f>'C4-FinPerf RE'!G19</f>
        <v>567424769.73000002</v>
      </c>
      <c r="H56" s="48">
        <f>'C4-FinPerf RE'!K19</f>
        <v>764481240</v>
      </c>
    </row>
    <row r="57" spans="1:8" ht="12.75" customHeight="1" x14ac:dyDescent="0.25">
      <c r="A57" s="42" t="str">
        <f>'C4-FinPerf RE'!A39</f>
        <v>Transfers and subsidies - capital (monetary allocations) (National / Provincial and District)</v>
      </c>
      <c r="B57" s="67"/>
      <c r="C57" s="67"/>
      <c r="D57" s="84">
        <f>'C4-FinPerf RE'!C39</f>
        <v>0</v>
      </c>
      <c r="E57" s="84">
        <f>'C4-FinPerf RE'!D39</f>
        <v>525891580.99999982</v>
      </c>
      <c r="F57" s="84">
        <f>'C4-FinPerf RE'!E39</f>
        <v>525891580.99999982</v>
      </c>
      <c r="G57" s="97">
        <f>'C4-FinPerf RE'!G39</f>
        <v>252083543.83000001</v>
      </c>
      <c r="H57" s="48">
        <f>'C4-FinPerf RE'!K39</f>
        <v>525891580.99999982</v>
      </c>
    </row>
    <row r="58" spans="1:8" ht="12.75" customHeight="1" x14ac:dyDescent="0.25">
      <c r="A58" s="42" t="s">
        <v>446</v>
      </c>
      <c r="B58" s="67"/>
      <c r="C58" s="67"/>
      <c r="D58" s="84">
        <f>'C7-CFlow'!C12+'C7-CFlow'!C36</f>
        <v>0</v>
      </c>
      <c r="E58" s="84">
        <f>'C7-CFlow'!D12+'C7-CFlow'!D36</f>
        <v>105854483.86592242</v>
      </c>
      <c r="F58" s="84">
        <f>'C7-CFlow'!E12+'C7-CFlow'!E36</f>
        <v>105854483.86592242</v>
      </c>
      <c r="G58" s="97">
        <f>'C7-CFlow'!G16+'C7-CFlow'!G36</f>
        <v>-32444716.800000001</v>
      </c>
      <c r="H58" s="48">
        <f>'C7-CFlow'!K16+'C7-CFlow'!K36</f>
        <v>-115711334.21999997</v>
      </c>
    </row>
    <row r="59" spans="1:8" ht="12.75" customHeight="1" x14ac:dyDescent="0.25">
      <c r="A59" s="42" t="s">
        <v>527</v>
      </c>
      <c r="B59" s="67"/>
      <c r="C59" s="67"/>
      <c r="D59" s="84">
        <f>'C6-FinPos'!C9+'C6-FinPos'!C10+'C6-FinPos'!C11+'C6-FinPos'!C16</f>
        <v>0</v>
      </c>
      <c r="E59" s="84">
        <f>'C6-FinPos'!D9+'C6-FinPos'!D10+'C6-FinPos'!D11+'C6-FinPos'!D16</f>
        <v>2553728343.5321512</v>
      </c>
      <c r="F59" s="84">
        <f>'C6-FinPos'!E9+'C6-FinPos'!E10+'C6-FinPos'!E11+'C6-FinPos'!E16</f>
        <v>2553728343.5321512</v>
      </c>
      <c r="G59" s="97">
        <f>'C6-FinPos'!F9+'C6-FinPos'!F10+'C6-FinPos'!F11+'C6-FinPos'!F16</f>
        <v>2278916410.3499994</v>
      </c>
      <c r="H59" s="48">
        <f>'C6-FinPos'!G9+'C6-FinPos'!G10+'C6-FinPos'!G11+'C6-FinPos'!G16</f>
        <v>2553728343.5321512</v>
      </c>
    </row>
    <row r="60" spans="1:8" ht="12.75" customHeight="1" x14ac:dyDescent="0.25">
      <c r="A60" s="42" t="s">
        <v>447</v>
      </c>
      <c r="B60" s="67"/>
      <c r="C60" s="67"/>
      <c r="D60" s="84">
        <f>SUM('C4-FinPerf RE'!C7:C11)</f>
        <v>0</v>
      </c>
      <c r="E60" s="84">
        <f>SUM('C4-FinPerf RE'!D7:D11)</f>
        <v>3575763602.2929115</v>
      </c>
      <c r="F60" s="84">
        <f>SUM('C4-FinPerf RE'!E7:E11)</f>
        <v>3575763602.2929115</v>
      </c>
      <c r="G60" s="97">
        <f>SUM('C4-FinPerf RE'!G7:G11)</f>
        <v>1713265561.1500001</v>
      </c>
      <c r="H60" s="48"/>
    </row>
    <row r="61" spans="1:8" ht="12.75" customHeight="1" x14ac:dyDescent="0.25">
      <c r="A61" s="42" t="s">
        <v>448</v>
      </c>
      <c r="B61" s="67" t="s">
        <v>449</v>
      </c>
      <c r="C61" s="67"/>
      <c r="D61" s="84">
        <f>'C6-FinPos'!C7+'C6-FinPos'!C8+'C6-FinPos'!C17-'C6-FinPos'!C30</f>
        <v>0</v>
      </c>
      <c r="E61" s="84">
        <f>'C6-FinPos'!D7+'C6-FinPos'!D8+'C6-FinPos'!D17-'C6-FinPos'!D30</f>
        <v>385405520.86176199</v>
      </c>
      <c r="F61" s="84">
        <f>'C6-FinPos'!E7+'C6-FinPos'!E8+'C6-FinPos'!E17-'C6-FinPos'!E30</f>
        <v>606800274.75492859</v>
      </c>
      <c r="G61" s="97">
        <f>'C6-FinPos'!F7+'C6-FinPos'!F8+'C6-FinPos'!F17-'C6-FinPos'!F30</f>
        <v>278196224.44999999</v>
      </c>
      <c r="H61" s="48">
        <f>'C6-FinPos'!G7+'C6-FinPos'!G8+'C6-FinPos'!G17-'C6-FinPos'!G30</f>
        <v>606800274.75492859</v>
      </c>
    </row>
    <row r="62" spans="1:8" ht="12.75" customHeight="1" x14ac:dyDescent="0.25">
      <c r="A62" s="42" t="s">
        <v>725</v>
      </c>
      <c r="B62" s="67"/>
      <c r="C62" s="67"/>
      <c r="D62" s="769"/>
      <c r="E62" s="769"/>
      <c r="F62" s="769"/>
      <c r="G62" s="769"/>
      <c r="H62" s="770"/>
    </row>
    <row r="63" spans="1:8" ht="12.75" customHeight="1" x14ac:dyDescent="0.25">
      <c r="A63" s="42" t="s">
        <v>780</v>
      </c>
      <c r="B63" s="67"/>
      <c r="C63" s="67"/>
      <c r="D63" s="117">
        <f>'C6-FinPos'!C16</f>
        <v>0</v>
      </c>
      <c r="E63" s="117">
        <f>'C6-FinPos'!D16</f>
        <v>0</v>
      </c>
      <c r="F63" s="117">
        <f>'C6-FinPos'!E16</f>
        <v>0</v>
      </c>
      <c r="G63" s="325">
        <f>'C6-FinPos'!F16</f>
        <v>-1775590.25</v>
      </c>
      <c r="H63" s="340">
        <f>'C6-FinPos'!G16</f>
        <v>0</v>
      </c>
    </row>
    <row r="64" spans="1:8" ht="12.75" customHeight="1" x14ac:dyDescent="0.25">
      <c r="A64" s="42" t="s">
        <v>724</v>
      </c>
      <c r="B64" s="67"/>
      <c r="C64" s="67"/>
      <c r="D64" s="771"/>
      <c r="E64" s="771"/>
      <c r="F64" s="771"/>
      <c r="G64" s="771"/>
      <c r="H64" s="772"/>
    </row>
    <row r="65" spans="1:8" ht="12.75" customHeight="1" x14ac:dyDescent="0.25">
      <c r="A65" s="91" t="s">
        <v>781</v>
      </c>
      <c r="B65" s="337"/>
      <c r="C65" s="337"/>
      <c r="D65" s="773"/>
      <c r="E65" s="774"/>
      <c r="F65" s="774"/>
      <c r="G65" s="774"/>
      <c r="H65" s="775"/>
    </row>
    <row r="66" spans="1:8" ht="11.25" customHeight="1" x14ac:dyDescent="0.25">
      <c r="G66" s="100"/>
      <c r="H66" s="100"/>
    </row>
  </sheetData>
  <sheetProtection sheet="1" objects="1" scenarios="1"/>
  <mergeCells count="4">
    <mergeCell ref="A2:A3"/>
    <mergeCell ref="B2:B3"/>
    <mergeCell ref="C2:C3"/>
    <mergeCell ref="A1:H1"/>
  </mergeCells>
  <phoneticPr fontId="2" type="noConversion"/>
  <printOptions horizontalCentered="1"/>
  <pageMargins left="0.36" right="0.21" top="0.52" bottom="0.4" header="0.51181102362204722" footer="0.38"/>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indexed="42"/>
    <pageSetUpPr fitToPage="1"/>
  </sheetPr>
  <dimension ref="A1:P50"/>
  <sheetViews>
    <sheetView showGridLines="0" zoomScaleNormal="100" workbookViewId="0">
      <pane xSplit="1" ySplit="3" topLeftCell="C4" activePane="bottomRight" state="frozen"/>
      <selection pane="topRight"/>
      <selection pane="bottomLeft"/>
      <selection pane="bottomRight" activeCell="F34" sqref="F34"/>
    </sheetView>
  </sheetViews>
  <sheetFormatPr defaultColWidth="9.140625" defaultRowHeight="21.75" customHeight="1" x14ac:dyDescent="0.25"/>
  <cols>
    <col min="1" max="1" width="48.42578125" style="67" customWidth="1"/>
    <col min="2" max="2" width="5.140625" style="67" bestFit="1" customWidth="1"/>
    <col min="3" max="12" width="8.7109375" style="67" customWidth="1"/>
    <col min="13" max="14" width="10.5703125" style="67" customWidth="1"/>
    <col min="15" max="15" width="8.7109375" style="67" customWidth="1"/>
    <col min="16" max="16384" width="9.140625" style="67"/>
  </cols>
  <sheetData>
    <row r="1" spans="1:16" ht="13.35" customHeight="1" x14ac:dyDescent="0.25">
      <c r="A1" s="1053" t="str">
        <f>muni&amp; " - "&amp;S71I&amp; " - "&amp;Head57</f>
        <v>KZN225 Msunduzi - Supporting Table SC3 Monthly Budget Statement - aged debtors - Mid-Year Assessment</v>
      </c>
      <c r="B1" s="1053"/>
      <c r="C1" s="1060"/>
      <c r="D1" s="1060"/>
      <c r="E1" s="1060"/>
      <c r="F1" s="1060"/>
      <c r="G1" s="1060"/>
      <c r="H1" s="1060"/>
      <c r="I1" s="1060"/>
      <c r="J1" s="1060"/>
      <c r="K1" s="1060"/>
      <c r="L1" s="1060"/>
      <c r="M1" s="1060"/>
      <c r="N1" s="162"/>
      <c r="O1" s="406"/>
    </row>
    <row r="2" spans="1:16" ht="13.35" customHeight="1" x14ac:dyDescent="0.25">
      <c r="A2" s="355" t="str">
        <f>desc</f>
        <v>Description</v>
      </c>
      <c r="B2" s="894"/>
      <c r="C2" s="1061" t="str">
        <f>Head2</f>
        <v>Budget Year 2020/21</v>
      </c>
      <c r="D2" s="1062"/>
      <c r="E2" s="1062"/>
      <c r="F2" s="1062"/>
      <c r="G2" s="1062"/>
      <c r="H2" s="1062"/>
      <c r="I2" s="1062"/>
      <c r="J2" s="1062"/>
      <c r="K2" s="1062"/>
      <c r="L2" s="1062"/>
      <c r="M2" s="1062"/>
      <c r="N2" s="1063"/>
      <c r="O2" s="911"/>
    </row>
    <row r="3" spans="1:16" ht="52.5" customHeight="1" x14ac:dyDescent="0.25">
      <c r="A3" s="900" t="s">
        <v>667</v>
      </c>
      <c r="B3" s="893" t="s">
        <v>734</v>
      </c>
      <c r="C3" s="896" t="s">
        <v>13</v>
      </c>
      <c r="D3" s="897" t="s">
        <v>14</v>
      </c>
      <c r="E3" s="897" t="s">
        <v>15</v>
      </c>
      <c r="F3" s="897" t="s">
        <v>16</v>
      </c>
      <c r="G3" s="897" t="s">
        <v>17</v>
      </c>
      <c r="H3" s="897" t="s">
        <v>18</v>
      </c>
      <c r="I3" s="897" t="s">
        <v>19</v>
      </c>
      <c r="J3" s="898" t="s">
        <v>20</v>
      </c>
      <c r="K3" s="899" t="s">
        <v>56</v>
      </c>
      <c r="L3" s="899" t="s">
        <v>1100</v>
      </c>
      <c r="M3" s="899" t="s">
        <v>1101</v>
      </c>
      <c r="N3" s="899" t="s">
        <v>1088</v>
      </c>
      <c r="O3" s="315"/>
    </row>
    <row r="4" spans="1:16" ht="12.75" x14ac:dyDescent="0.25">
      <c r="A4" s="87" t="s">
        <v>1076</v>
      </c>
      <c r="B4" s="169"/>
      <c r="C4" s="228"/>
      <c r="D4" s="165"/>
      <c r="E4" s="165"/>
      <c r="F4" s="165"/>
      <c r="G4" s="165"/>
      <c r="H4" s="165"/>
      <c r="I4" s="165"/>
      <c r="J4" s="286"/>
      <c r="K4" s="166"/>
      <c r="L4" s="166"/>
      <c r="M4" s="184"/>
      <c r="N4" s="184"/>
      <c r="O4" s="42"/>
    </row>
    <row r="5" spans="1:16" ht="12.75" customHeight="1" x14ac:dyDescent="0.25">
      <c r="A5" s="39" t="s">
        <v>1077</v>
      </c>
      <c r="B5" s="169">
        <v>1200</v>
      </c>
      <c r="C5" s="745">
        <v>122413229.62</v>
      </c>
      <c r="D5" s="733">
        <v>42379526.939999998</v>
      </c>
      <c r="E5" s="733">
        <v>42769490.560000002</v>
      </c>
      <c r="F5" s="733">
        <v>32789933.02</v>
      </c>
      <c r="G5" s="733">
        <v>41417721.079999998</v>
      </c>
      <c r="H5" s="733">
        <v>26406137</v>
      </c>
      <c r="I5" s="733">
        <v>166594703.49000001</v>
      </c>
      <c r="J5" s="744">
        <v>1315063384.4200001</v>
      </c>
      <c r="K5" s="134">
        <f>SUM(C5:J5)</f>
        <v>1789834126.1300001</v>
      </c>
      <c r="L5" s="134">
        <f>SUM(F5:J5)</f>
        <v>1582271879.01</v>
      </c>
      <c r="M5" s="747"/>
      <c r="N5" s="747">
        <v>932019201.70000005</v>
      </c>
      <c r="O5" s="912"/>
    </row>
    <row r="6" spans="1:16" ht="12.75" customHeight="1" x14ac:dyDescent="0.25">
      <c r="A6" s="39" t="s">
        <v>1079</v>
      </c>
      <c r="B6" s="169">
        <v>1300</v>
      </c>
      <c r="C6" s="745">
        <v>133190552.08</v>
      </c>
      <c r="D6" s="733">
        <v>36079498.009999998</v>
      </c>
      <c r="E6" s="733">
        <v>19100688.960000001</v>
      </c>
      <c r="F6" s="733">
        <v>16893025.300000001</v>
      </c>
      <c r="G6" s="733">
        <v>13307438.23</v>
      </c>
      <c r="H6" s="733">
        <v>8627228.5800000001</v>
      </c>
      <c r="I6" s="733">
        <v>42125547.109999999</v>
      </c>
      <c r="J6" s="744">
        <v>143847167.31999999</v>
      </c>
      <c r="K6" s="134">
        <f>SUM(C6:J6)</f>
        <v>413171145.59000003</v>
      </c>
      <c r="L6" s="134">
        <f t="shared" ref="L6:L12" si="0">SUM(F6:J6)</f>
        <v>224800406.53999999</v>
      </c>
      <c r="M6" s="747"/>
      <c r="N6" s="747">
        <v>81718579.530000001</v>
      </c>
      <c r="O6" s="912"/>
    </row>
    <row r="7" spans="1:16" ht="12.75" customHeight="1" x14ac:dyDescent="0.25">
      <c r="A7" s="39" t="s">
        <v>1078</v>
      </c>
      <c r="B7" s="169">
        <v>1400</v>
      </c>
      <c r="C7" s="745">
        <v>139300485.03</v>
      </c>
      <c r="D7" s="733">
        <v>53904920.530000001</v>
      </c>
      <c r="E7" s="733">
        <v>29702011.739999998</v>
      </c>
      <c r="F7" s="733">
        <v>29616401.34</v>
      </c>
      <c r="G7" s="733">
        <v>33891531.890000001</v>
      </c>
      <c r="H7" s="733">
        <v>21009762.149999999</v>
      </c>
      <c r="I7" s="733">
        <v>102594658.06999999</v>
      </c>
      <c r="J7" s="744">
        <v>543257492.82000005</v>
      </c>
      <c r="K7" s="134">
        <f t="shared" ref="K7:K13" si="1">SUM(C7:J7)</f>
        <v>953277263.57000005</v>
      </c>
      <c r="L7" s="134">
        <f t="shared" si="0"/>
        <v>730369846.26999998</v>
      </c>
      <c r="M7" s="747"/>
      <c r="N7" s="747">
        <v>385674767.19</v>
      </c>
      <c r="O7" s="912"/>
    </row>
    <row r="8" spans="1:16" ht="12.75" customHeight="1" x14ac:dyDescent="0.25">
      <c r="A8" s="39" t="s">
        <v>1080</v>
      </c>
      <c r="B8" s="169">
        <v>1500</v>
      </c>
      <c r="C8" s="745">
        <v>25671273.609999999</v>
      </c>
      <c r="D8" s="733">
        <v>6599503.8799999999</v>
      </c>
      <c r="E8" s="733">
        <v>6260954.79</v>
      </c>
      <c r="F8" s="733">
        <v>5744838.8700000001</v>
      </c>
      <c r="G8" s="733">
        <v>4826683.0999999996</v>
      </c>
      <c r="H8" s="733">
        <v>4664694.72</v>
      </c>
      <c r="I8" s="733">
        <v>27692099.559999999</v>
      </c>
      <c r="J8" s="744">
        <v>237453264.36000001</v>
      </c>
      <c r="K8" s="134">
        <f t="shared" si="1"/>
        <v>318913312.88999999</v>
      </c>
      <c r="L8" s="134">
        <f t="shared" si="0"/>
        <v>280381580.61000001</v>
      </c>
      <c r="M8" s="747"/>
      <c r="N8" s="747">
        <v>181261913.66</v>
      </c>
      <c r="O8" s="912"/>
    </row>
    <row r="9" spans="1:16" ht="12.75" customHeight="1" x14ac:dyDescent="0.25">
      <c r="A9" s="39" t="s">
        <v>1081</v>
      </c>
      <c r="B9" s="169">
        <v>1600</v>
      </c>
      <c r="C9" s="745">
        <v>13956060.699999999</v>
      </c>
      <c r="D9" s="733">
        <v>3378732.2</v>
      </c>
      <c r="E9" s="733">
        <v>3261249.67</v>
      </c>
      <c r="F9" s="733">
        <v>3043853.95</v>
      </c>
      <c r="G9" s="733">
        <v>2840774.84</v>
      </c>
      <c r="H9" s="733">
        <v>1831381.07</v>
      </c>
      <c r="I9" s="733">
        <v>15695959.029999999</v>
      </c>
      <c r="J9" s="744">
        <v>136038901.31999999</v>
      </c>
      <c r="K9" s="134">
        <f t="shared" si="1"/>
        <v>180046912.78</v>
      </c>
      <c r="L9" s="134">
        <f>SUM(F9:J9)</f>
        <v>159450870.20999998</v>
      </c>
      <c r="M9" s="747"/>
      <c r="N9" s="747">
        <v>99529774.5</v>
      </c>
      <c r="O9" s="912"/>
    </row>
    <row r="10" spans="1:16" ht="12.75" customHeight="1" x14ac:dyDescent="0.25">
      <c r="A10" s="39" t="s">
        <v>1082</v>
      </c>
      <c r="B10" s="169">
        <v>1700</v>
      </c>
      <c r="C10" s="745">
        <v>2852357.24</v>
      </c>
      <c r="D10" s="733">
        <v>883761.13</v>
      </c>
      <c r="E10" s="733">
        <v>763131.83</v>
      </c>
      <c r="F10" s="733">
        <v>701889.85</v>
      </c>
      <c r="G10" s="733">
        <v>822609.77</v>
      </c>
      <c r="H10" s="733">
        <v>600167.42000000004</v>
      </c>
      <c r="I10" s="733">
        <v>6767594.9500000002</v>
      </c>
      <c r="J10" s="744">
        <v>42824954.740000002</v>
      </c>
      <c r="K10" s="134">
        <f t="shared" si="1"/>
        <v>56216466.930000007</v>
      </c>
      <c r="L10" s="134">
        <f>SUM(F10:J10)</f>
        <v>51717216.730000004</v>
      </c>
      <c r="M10" s="747"/>
      <c r="N10" s="747">
        <v>32165582.68</v>
      </c>
      <c r="O10" s="912"/>
    </row>
    <row r="11" spans="1:16" ht="12.75" customHeight="1" x14ac:dyDescent="0.25">
      <c r="A11" s="39" t="s">
        <v>1083</v>
      </c>
      <c r="B11" s="169">
        <v>1810</v>
      </c>
      <c r="C11" s="745">
        <v>32447171.93</v>
      </c>
      <c r="D11" s="733">
        <v>16314107.68</v>
      </c>
      <c r="E11" s="733">
        <v>16358662.310000001</v>
      </c>
      <c r="F11" s="733">
        <v>16060764.130000001</v>
      </c>
      <c r="G11" s="733">
        <v>23138473.260000002</v>
      </c>
      <c r="H11" s="733">
        <v>32158374.59</v>
      </c>
      <c r="I11" s="733">
        <v>113558000.42</v>
      </c>
      <c r="J11" s="744">
        <v>493245772.54000002</v>
      </c>
      <c r="K11" s="134">
        <f t="shared" si="1"/>
        <v>743281326.86000001</v>
      </c>
      <c r="L11" s="134">
        <f t="shared" si="0"/>
        <v>678161384.94000006</v>
      </c>
      <c r="M11" s="747"/>
      <c r="N11" s="747">
        <v>173135915.33000001</v>
      </c>
      <c r="O11" s="912"/>
      <c r="P11" s="96"/>
    </row>
    <row r="12" spans="1:16" ht="12.75" customHeight="1" x14ac:dyDescent="0.25">
      <c r="A12" s="39" t="s">
        <v>1084</v>
      </c>
      <c r="B12" s="169">
        <v>1820</v>
      </c>
      <c r="C12" s="745"/>
      <c r="D12" s="733"/>
      <c r="E12" s="733"/>
      <c r="F12" s="733"/>
      <c r="G12" s="733"/>
      <c r="H12" s="733"/>
      <c r="I12" s="733"/>
      <c r="J12" s="744"/>
      <c r="K12" s="134">
        <f t="shared" si="1"/>
        <v>0</v>
      </c>
      <c r="L12" s="134">
        <f t="shared" si="0"/>
        <v>0</v>
      </c>
      <c r="M12" s="747"/>
      <c r="N12" s="747"/>
      <c r="O12" s="912"/>
      <c r="P12" s="96"/>
    </row>
    <row r="13" spans="1:16" ht="12.75" customHeight="1" x14ac:dyDescent="0.25">
      <c r="A13" s="39" t="s">
        <v>718</v>
      </c>
      <c r="B13" s="169">
        <v>1900</v>
      </c>
      <c r="C13" s="745">
        <v>-5146282.0599999996</v>
      </c>
      <c r="D13" s="733">
        <v>20688.29</v>
      </c>
      <c r="E13" s="733">
        <v>113497.95</v>
      </c>
      <c r="F13" s="733">
        <v>131344.74</v>
      </c>
      <c r="G13" s="733">
        <v>415507.19</v>
      </c>
      <c r="H13" s="733">
        <v>840104.41</v>
      </c>
      <c r="I13" s="733">
        <v>226717.24</v>
      </c>
      <c r="J13" s="744">
        <v>321164507.19999999</v>
      </c>
      <c r="K13" s="134">
        <f t="shared" si="1"/>
        <v>317766084.95999998</v>
      </c>
      <c r="L13" s="134">
        <f>SUM(F13:J13)</f>
        <v>322778180.77999997</v>
      </c>
      <c r="M13" s="747"/>
      <c r="N13" s="747">
        <v>319346586.02999997</v>
      </c>
      <c r="O13" s="912"/>
    </row>
    <row r="14" spans="1:16" ht="12.75" customHeight="1" x14ac:dyDescent="0.25">
      <c r="A14" s="53" t="s">
        <v>1085</v>
      </c>
      <c r="B14" s="284">
        <v>2000</v>
      </c>
      <c r="C14" s="56">
        <f t="shared" ref="C14:N14" si="2">SUM(C5:C13)</f>
        <v>464684848.15000004</v>
      </c>
      <c r="D14" s="55">
        <f t="shared" si="2"/>
        <v>159560738.65999997</v>
      </c>
      <c r="E14" s="55">
        <f t="shared" si="2"/>
        <v>118329687.81000002</v>
      </c>
      <c r="F14" s="55">
        <f t="shared" si="2"/>
        <v>104982051.19999999</v>
      </c>
      <c r="G14" s="55">
        <f t="shared" si="2"/>
        <v>120660739.36</v>
      </c>
      <c r="H14" s="55">
        <f t="shared" si="2"/>
        <v>96137849.939999998</v>
      </c>
      <c r="I14" s="55">
        <f t="shared" si="2"/>
        <v>475255279.87</v>
      </c>
      <c r="J14" s="83">
        <f t="shared" si="2"/>
        <v>3232895444.7199998</v>
      </c>
      <c r="K14" s="112">
        <f t="shared" si="2"/>
        <v>4772506639.71</v>
      </c>
      <c r="L14" s="112">
        <f>SUM(L5:L13)</f>
        <v>4029931365.0900002</v>
      </c>
      <c r="M14" s="54">
        <f t="shared" si="2"/>
        <v>0</v>
      </c>
      <c r="N14" s="54">
        <f t="shared" si="2"/>
        <v>2204852320.6199999</v>
      </c>
      <c r="O14" s="913"/>
    </row>
    <row r="15" spans="1:16" ht="12.75" customHeight="1" x14ac:dyDescent="0.25">
      <c r="A15" s="313" t="str">
        <f>Head1&amp;" - totals only"</f>
        <v>2019/20 - totals only</v>
      </c>
      <c r="B15" s="367"/>
      <c r="C15" s="745">
        <v>704600774.9000001</v>
      </c>
      <c r="D15" s="745">
        <v>-4325301.05</v>
      </c>
      <c r="E15" s="745">
        <v>117682805.63000001</v>
      </c>
      <c r="F15" s="745">
        <v>101021025.72999999</v>
      </c>
      <c r="G15" s="745">
        <v>97617113.169999987</v>
      </c>
      <c r="H15" s="745">
        <v>89416119.010000005</v>
      </c>
      <c r="I15" s="745">
        <v>534223289.34000003</v>
      </c>
      <c r="J15" s="745">
        <v>2831952593.4300003</v>
      </c>
      <c r="K15" s="795">
        <f>SUM(C15:J15)</f>
        <v>4472188420.1599998</v>
      </c>
      <c r="L15" s="368">
        <f>SUM(F15:J15)</f>
        <v>3654230140.6800003</v>
      </c>
      <c r="M15" s="794"/>
      <c r="N15" s="747">
        <v>2129136377.95</v>
      </c>
      <c r="O15" s="49"/>
    </row>
    <row r="16" spans="1:16" ht="12.75" customHeight="1" x14ac:dyDescent="0.25">
      <c r="A16" s="87" t="s">
        <v>1089</v>
      </c>
      <c r="B16" s="169"/>
      <c r="C16" s="46"/>
      <c r="D16" s="44"/>
      <c r="E16" s="44"/>
      <c r="F16" s="44"/>
      <c r="G16" s="44"/>
      <c r="H16" s="44"/>
      <c r="I16" s="44"/>
      <c r="J16" s="108"/>
      <c r="K16" s="134"/>
      <c r="L16" s="645"/>
      <c r="M16" s="45"/>
      <c r="N16" s="895"/>
    </row>
    <row r="17" spans="1:14" ht="12.75" customHeight="1" x14ac:dyDescent="0.25">
      <c r="A17" s="39" t="s">
        <v>1086</v>
      </c>
      <c r="B17" s="169">
        <v>2200</v>
      </c>
      <c r="C17" s="745">
        <v>22731066.550000001</v>
      </c>
      <c r="D17" s="733">
        <v>14268594.6</v>
      </c>
      <c r="E17" s="733">
        <v>9872977.0800000001</v>
      </c>
      <c r="F17" s="733">
        <v>9655417.9800000004</v>
      </c>
      <c r="G17" s="733">
        <v>9983071.1400000006</v>
      </c>
      <c r="H17" s="733">
        <v>6455426.3499999996</v>
      </c>
      <c r="I17" s="733">
        <v>27096879.949999999</v>
      </c>
      <c r="J17" s="744">
        <v>122689485.3</v>
      </c>
      <c r="K17" s="134">
        <f>SUM(C17:J17)</f>
        <v>222752918.94999999</v>
      </c>
      <c r="L17" s="645">
        <f>SUM(F17:J17)</f>
        <v>175880280.72</v>
      </c>
      <c r="M17" s="747"/>
      <c r="N17" s="748">
        <v>211037920.27000001</v>
      </c>
    </row>
    <row r="18" spans="1:14" ht="12.75" customHeight="1" x14ac:dyDescent="0.25">
      <c r="A18" s="39" t="s">
        <v>1087</v>
      </c>
      <c r="B18" s="169">
        <v>2300</v>
      </c>
      <c r="C18" s="745">
        <v>209841211.25</v>
      </c>
      <c r="D18" s="733">
        <v>45095133.32</v>
      </c>
      <c r="E18" s="733">
        <v>22238254.859999999</v>
      </c>
      <c r="F18" s="733">
        <v>19778306.370000001</v>
      </c>
      <c r="G18" s="733">
        <v>16478984.859999999</v>
      </c>
      <c r="H18" s="733">
        <v>17515272.329999998</v>
      </c>
      <c r="I18" s="733">
        <v>67729863.799999997</v>
      </c>
      <c r="J18" s="744">
        <v>326409147.33999997</v>
      </c>
      <c r="K18" s="134">
        <f>SUM(C18:J18)</f>
        <v>725086174.13</v>
      </c>
      <c r="L18" s="645">
        <f>SUM(F18:J18)</f>
        <v>447911574.69999999</v>
      </c>
      <c r="M18" s="747"/>
      <c r="N18" s="748">
        <v>69261985.900000006</v>
      </c>
    </row>
    <row r="19" spans="1:14" ht="12.75" customHeight="1" x14ac:dyDescent="0.25">
      <c r="A19" s="39" t="s">
        <v>685</v>
      </c>
      <c r="B19" s="169">
        <v>2400</v>
      </c>
      <c r="C19" s="745">
        <v>228112322.84</v>
      </c>
      <c r="D19" s="733">
        <v>93248482.409999996</v>
      </c>
      <c r="E19" s="733">
        <v>81176309.150000006</v>
      </c>
      <c r="F19" s="733">
        <v>70074968.790000007</v>
      </c>
      <c r="G19" s="733">
        <v>85937774.280000001</v>
      </c>
      <c r="H19" s="733">
        <v>68774399.019999996</v>
      </c>
      <c r="I19" s="733">
        <v>358565749.38999999</v>
      </c>
      <c r="J19" s="744">
        <v>2597651289.5</v>
      </c>
      <c r="K19" s="134">
        <f>SUM(C19:J19)</f>
        <v>3583541295.3800001</v>
      </c>
      <c r="L19" s="645">
        <f>SUM(F19:J19)</f>
        <v>3181004180.98</v>
      </c>
      <c r="M19" s="747"/>
      <c r="N19" s="748">
        <v>1788948886.1400001</v>
      </c>
    </row>
    <row r="20" spans="1:14" ht="12.75" customHeight="1" x14ac:dyDescent="0.25">
      <c r="A20" s="39" t="s">
        <v>718</v>
      </c>
      <c r="B20" s="169">
        <v>2500</v>
      </c>
      <c r="C20" s="745">
        <v>4000247.51</v>
      </c>
      <c r="D20" s="733">
        <v>6948528.3300000001</v>
      </c>
      <c r="E20" s="733">
        <v>5042146.72</v>
      </c>
      <c r="F20" s="733">
        <v>5473358.0599999996</v>
      </c>
      <c r="G20" s="733">
        <v>8260909.0800000001</v>
      </c>
      <c r="H20" s="733">
        <v>3392752.24</v>
      </c>
      <c r="I20" s="733">
        <v>21862786.73</v>
      </c>
      <c r="J20" s="744">
        <v>186145522.58000001</v>
      </c>
      <c r="K20" s="134">
        <f>SUM(C20:J20)</f>
        <v>241126251.25</v>
      </c>
      <c r="L20" s="645">
        <f>SUM(F20:J20)</f>
        <v>225135328.69</v>
      </c>
      <c r="M20" s="747"/>
      <c r="N20" s="749">
        <v>135603528.31</v>
      </c>
    </row>
    <row r="21" spans="1:14" ht="12.75" customHeight="1" x14ac:dyDescent="0.25">
      <c r="A21" s="53" t="s">
        <v>1090</v>
      </c>
      <c r="B21" s="284">
        <v>2600</v>
      </c>
      <c r="C21" s="56">
        <f t="shared" ref="C21:I21" si="3">SUM(C17:C20)</f>
        <v>464684848.14999998</v>
      </c>
      <c r="D21" s="55">
        <f t="shared" si="3"/>
        <v>159560738.66</v>
      </c>
      <c r="E21" s="55">
        <f t="shared" si="3"/>
        <v>118329687.81</v>
      </c>
      <c r="F21" s="55">
        <f t="shared" si="3"/>
        <v>104982051.20000002</v>
      </c>
      <c r="G21" s="55">
        <f t="shared" si="3"/>
        <v>120660739.36</v>
      </c>
      <c r="H21" s="55">
        <f t="shared" si="3"/>
        <v>96137849.939999983</v>
      </c>
      <c r="I21" s="55">
        <f t="shared" si="3"/>
        <v>475255279.87</v>
      </c>
      <c r="J21" s="83">
        <f>SUM(J17:J20)</f>
        <v>3232895444.7199998</v>
      </c>
      <c r="K21" s="112">
        <f>SUM(K17:K20)</f>
        <v>4772506639.71</v>
      </c>
      <c r="L21" s="914">
        <f>SUM(L17:L20)</f>
        <v>4029931365.0900002</v>
      </c>
      <c r="M21" s="54">
        <f>SUM(M17:M20)</f>
        <v>0</v>
      </c>
      <c r="N21" s="244">
        <f>SUM(N17:N20)</f>
        <v>2204852320.6200004</v>
      </c>
    </row>
    <row r="22" spans="1:14" ht="12.75" customHeight="1" x14ac:dyDescent="0.25">
      <c r="A22" s="57" t="s">
        <v>789</v>
      </c>
      <c r="B22" s="167"/>
      <c r="C22" s="49"/>
      <c r="D22" s="49"/>
      <c r="E22" s="49"/>
      <c r="F22" s="49"/>
      <c r="G22" s="49"/>
      <c r="H22" s="49"/>
      <c r="I22" s="49"/>
      <c r="J22" s="49"/>
      <c r="K22" s="49"/>
      <c r="L22" s="49"/>
      <c r="M22" s="49"/>
      <c r="N22" s="49"/>
    </row>
    <row r="23" spans="1:14" ht="12.75" x14ac:dyDescent="0.25">
      <c r="A23" s="80" t="s">
        <v>621</v>
      </c>
    </row>
    <row r="24" spans="1:14" ht="12.75" x14ac:dyDescent="0.25">
      <c r="A24" s="80" t="s">
        <v>535</v>
      </c>
    </row>
    <row r="25" spans="1:14" ht="12.75" x14ac:dyDescent="0.25">
      <c r="A25" s="80" t="s">
        <v>1091</v>
      </c>
    </row>
    <row r="26" spans="1:14" ht="12.75" x14ac:dyDescent="0.25">
      <c r="C26" s="43">
        <f>C14-C21</f>
        <v>0</v>
      </c>
      <c r="D26" s="43">
        <f>D14-D21</f>
        <v>0</v>
      </c>
      <c r="E26" s="43">
        <f t="shared" ref="E26:K26" si="4">E14-E21</f>
        <v>0</v>
      </c>
      <c r="F26" s="43">
        <f t="shared" si="4"/>
        <v>0</v>
      </c>
      <c r="G26" s="43">
        <f t="shared" si="4"/>
        <v>0</v>
      </c>
      <c r="H26" s="43">
        <f t="shared" si="4"/>
        <v>0</v>
      </c>
      <c r="I26" s="43">
        <f t="shared" si="4"/>
        <v>0</v>
      </c>
      <c r="J26" s="43">
        <f>J14-J21</f>
        <v>0</v>
      </c>
      <c r="K26" s="43">
        <f t="shared" si="4"/>
        <v>0</v>
      </c>
      <c r="L26" s="43"/>
    </row>
    <row r="27" spans="1:14" ht="12.75" x14ac:dyDescent="0.25">
      <c r="C27" s="688" t="str">
        <f>IF(C26=0,"","MUST AGREE")</f>
        <v/>
      </c>
      <c r="D27" s="688" t="str">
        <f t="shared" ref="D27:K27" si="5">IF(D26=0,"","MUST AGREE")</f>
        <v/>
      </c>
      <c r="E27" s="688" t="str">
        <f t="shared" si="5"/>
        <v/>
      </c>
      <c r="F27" s="688" t="str">
        <f t="shared" si="5"/>
        <v/>
      </c>
      <c r="G27" s="688" t="str">
        <f t="shared" si="5"/>
        <v/>
      </c>
      <c r="H27" s="688" t="str">
        <f t="shared" si="5"/>
        <v/>
      </c>
      <c r="I27" s="688" t="str">
        <f t="shared" si="5"/>
        <v/>
      </c>
      <c r="J27" s="688" t="str">
        <f t="shared" si="5"/>
        <v/>
      </c>
      <c r="K27" s="688" t="str">
        <f t="shared" si="5"/>
        <v/>
      </c>
      <c r="L27" s="688"/>
    </row>
    <row r="28" spans="1:14" ht="12.75" x14ac:dyDescent="0.25"/>
    <row r="29" spans="1:14" ht="12.75" x14ac:dyDescent="0.25"/>
    <row r="30" spans="1:14" ht="12.75" x14ac:dyDescent="0.25"/>
    <row r="31" spans="1:14" ht="12.75" x14ac:dyDescent="0.25"/>
    <row r="32" spans="1:14" ht="12.75" x14ac:dyDescent="0.25"/>
    <row r="33" ht="12.75" x14ac:dyDescent="0.25"/>
    <row r="34" ht="12.75" x14ac:dyDescent="0.25"/>
    <row r="35" ht="12.75" x14ac:dyDescent="0.25"/>
    <row r="36" ht="12.75" x14ac:dyDescent="0.25"/>
    <row r="37" ht="12.75" x14ac:dyDescent="0.25"/>
    <row r="38" ht="12.75" x14ac:dyDescent="0.25"/>
    <row r="39" ht="11.45" customHeight="1" x14ac:dyDescent="0.25"/>
    <row r="40" ht="11.45" customHeight="1" x14ac:dyDescent="0.25"/>
    <row r="41" ht="11.45" customHeight="1" x14ac:dyDescent="0.25"/>
    <row r="42" ht="11.45" customHeight="1" x14ac:dyDescent="0.25"/>
    <row r="43" ht="11.45" customHeight="1" x14ac:dyDescent="0.25"/>
    <row r="44" ht="11.45" customHeight="1" x14ac:dyDescent="0.25"/>
    <row r="45" ht="11.45" customHeight="1" x14ac:dyDescent="0.25"/>
    <row r="46" ht="11.45" customHeight="1" x14ac:dyDescent="0.25"/>
    <row r="47" ht="11.45" customHeight="1" x14ac:dyDescent="0.25"/>
    <row r="48" ht="11.45" customHeight="1" x14ac:dyDescent="0.25"/>
    <row r="49" ht="11.45" customHeight="1" x14ac:dyDescent="0.25"/>
    <row r="50" ht="11.45" customHeight="1" x14ac:dyDescent="0.25"/>
  </sheetData>
  <sheetProtection sheet="1" objects="1" scenarios="1"/>
  <mergeCells count="2">
    <mergeCell ref="A1:M1"/>
    <mergeCell ref="C2:N2"/>
  </mergeCells>
  <phoneticPr fontId="2" type="noConversion"/>
  <printOptions horizontalCentered="1"/>
  <pageMargins left="0.35433070866141736" right="0.17" top="0.78" bottom="0.59055118110236227" header="0.51181102362204722" footer="0.39370078740157483"/>
  <pageSetup paperSize="9" scale="89" orientation="landscape" r:id="rId1"/>
  <headerFooter alignWithMargins="0"/>
  <ignoredErrors>
    <ignoredError sqref="K5:K13 K17:K20" formulaRange="1"/>
    <ignoredError sqref="K14" formula="1" formulaRange="1"/>
    <ignoredError sqref="L1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7">
    <tabColor indexed="46"/>
  </sheetPr>
  <dimension ref="D2:Y55"/>
  <sheetViews>
    <sheetView showGridLines="0" zoomScaleNormal="100" workbookViewId="0">
      <selection activeCell="O30" sqref="O30"/>
    </sheetView>
  </sheetViews>
  <sheetFormatPr defaultRowHeight="12.75" x14ac:dyDescent="0.2"/>
  <cols>
    <col min="22" max="22" width="5.42578125" customWidth="1"/>
    <col min="23" max="23" width="9.42578125" style="588" customWidth="1"/>
    <col min="24" max="24" width="14.28515625" style="588" customWidth="1"/>
    <col min="25" max="25" width="9.140625" style="588" customWidth="1"/>
  </cols>
  <sheetData>
    <row r="2" spans="4:25" x14ac:dyDescent="0.2">
      <c r="D2">
        <v>2020</v>
      </c>
    </row>
    <row r="4" spans="4:25" x14ac:dyDescent="0.2">
      <c r="X4" s="680" t="s">
        <v>570</v>
      </c>
    </row>
    <row r="5" spans="4:25" x14ac:dyDescent="0.2">
      <c r="X5" s="680" t="s">
        <v>77</v>
      </c>
    </row>
    <row r="6" spans="4:25" x14ac:dyDescent="0.2">
      <c r="X6" s="680"/>
    </row>
    <row r="7" spans="4:25" x14ac:dyDescent="0.2">
      <c r="W7" s="646" t="s">
        <v>146</v>
      </c>
      <c r="X7" s="680" t="s">
        <v>180</v>
      </c>
    </row>
    <row r="8" spans="4:25" x14ac:dyDescent="0.2">
      <c r="X8" s="680" t="s">
        <v>147</v>
      </c>
    </row>
    <row r="9" spans="4:25" x14ac:dyDescent="0.2">
      <c r="X9" s="680"/>
    </row>
    <row r="10" spans="4:25" x14ac:dyDescent="0.2">
      <c r="W10" s="646" t="s">
        <v>865</v>
      </c>
      <c r="X10" s="683">
        <v>17</v>
      </c>
    </row>
    <row r="11" spans="4:25" x14ac:dyDescent="0.2">
      <c r="W11" s="646" t="s">
        <v>866</v>
      </c>
      <c r="X11" s="701" t="str">
        <f>VLOOKUP(X10,W39:X55,2)</f>
        <v>Mid-Year Assessment</v>
      </c>
      <c r="Y11" s="902">
        <v>41487</v>
      </c>
    </row>
    <row r="12" spans="4:25" x14ac:dyDescent="0.2">
      <c r="X12" s="680"/>
    </row>
    <row r="13" spans="4:25" x14ac:dyDescent="0.2">
      <c r="X13" s="680"/>
    </row>
    <row r="14" spans="4:25" x14ac:dyDescent="0.2">
      <c r="X14" s="680"/>
    </row>
    <row r="15" spans="4:25" x14ac:dyDescent="0.2">
      <c r="X15" s="680"/>
    </row>
    <row r="16" spans="4:25" x14ac:dyDescent="0.2">
      <c r="X16" s="680"/>
    </row>
    <row r="17" spans="23:24" x14ac:dyDescent="0.2">
      <c r="X17" s="680"/>
    </row>
    <row r="18" spans="23:24" x14ac:dyDescent="0.2">
      <c r="X18" s="680"/>
    </row>
    <row r="19" spans="23:24" x14ac:dyDescent="0.2">
      <c r="W19" s="646" t="s">
        <v>148</v>
      </c>
      <c r="X19" s="680">
        <v>2008</v>
      </c>
    </row>
    <row r="20" spans="23:24" x14ac:dyDescent="0.2">
      <c r="X20" s="680">
        <v>2009</v>
      </c>
    </row>
    <row r="21" spans="23:24" x14ac:dyDescent="0.2">
      <c r="X21" s="680">
        <v>2010</v>
      </c>
    </row>
    <row r="22" spans="23:24" x14ac:dyDescent="0.2">
      <c r="X22" s="680">
        <v>2011</v>
      </c>
    </row>
    <row r="23" spans="23:24" x14ac:dyDescent="0.2">
      <c r="X23" s="680">
        <v>2012</v>
      </c>
    </row>
    <row r="24" spans="23:24" x14ac:dyDescent="0.2">
      <c r="X24" s="680">
        <v>2013</v>
      </c>
    </row>
    <row r="25" spans="23:24" x14ac:dyDescent="0.2">
      <c r="X25" s="680">
        <v>2014</v>
      </c>
    </row>
    <row r="26" spans="23:24" x14ac:dyDescent="0.2">
      <c r="X26" s="680">
        <v>2015</v>
      </c>
    </row>
    <row r="27" spans="23:24" x14ac:dyDescent="0.2">
      <c r="X27" s="680">
        <v>2016</v>
      </c>
    </row>
    <row r="28" spans="23:24" x14ac:dyDescent="0.2">
      <c r="X28" s="680">
        <v>2017</v>
      </c>
    </row>
    <row r="29" spans="23:24" x14ac:dyDescent="0.2">
      <c r="X29" s="680">
        <v>2018</v>
      </c>
    </row>
    <row r="30" spans="23:24" x14ac:dyDescent="0.2">
      <c r="X30" s="680">
        <v>2019</v>
      </c>
    </row>
    <row r="31" spans="23:24" x14ac:dyDescent="0.2">
      <c r="X31" s="680">
        <v>2020</v>
      </c>
    </row>
    <row r="32" spans="23:24" x14ac:dyDescent="0.2">
      <c r="X32" s="680">
        <v>2021</v>
      </c>
    </row>
    <row r="33" spans="22:25" x14ac:dyDescent="0.2">
      <c r="X33" s="680">
        <v>2022</v>
      </c>
    </row>
    <row r="34" spans="22:25" x14ac:dyDescent="0.2">
      <c r="W34" s="646" t="s">
        <v>149</v>
      </c>
      <c r="X34" s="680"/>
    </row>
    <row r="35" spans="22:25" x14ac:dyDescent="0.2">
      <c r="W35" s="646" t="s">
        <v>150</v>
      </c>
      <c r="X35" s="680">
        <v>13</v>
      </c>
    </row>
    <row r="36" spans="22:25" x14ac:dyDescent="0.2">
      <c r="X36" s="684">
        <f>INDEX(X19:X33,X35,1)</f>
        <v>2020</v>
      </c>
    </row>
    <row r="37" spans="22:25" x14ac:dyDescent="0.2">
      <c r="W37" s="646" t="s">
        <v>151</v>
      </c>
      <c r="X37" s="682"/>
    </row>
    <row r="38" spans="22:25" x14ac:dyDescent="0.2">
      <c r="X38" s="681" t="str">
        <f>MTREF&amp;"/"&amp;RIGHT(MTREF,2)+1</f>
        <v>2020/21</v>
      </c>
    </row>
    <row r="39" spans="22:25" x14ac:dyDescent="0.2">
      <c r="V39" s="646" t="s">
        <v>859</v>
      </c>
      <c r="W39" s="646">
        <v>1</v>
      </c>
      <c r="X39" s="646" t="s">
        <v>861</v>
      </c>
      <c r="Y39" s="901"/>
    </row>
    <row r="40" spans="22:25" x14ac:dyDescent="0.2">
      <c r="W40" s="646">
        <v>2</v>
      </c>
      <c r="X40" s="646" t="s">
        <v>862</v>
      </c>
      <c r="Y40" s="901"/>
    </row>
    <row r="41" spans="22:25" x14ac:dyDescent="0.2">
      <c r="W41" s="646">
        <v>3</v>
      </c>
      <c r="X41" s="646" t="s">
        <v>867</v>
      </c>
    </row>
    <row r="42" spans="22:25" x14ac:dyDescent="0.2">
      <c r="W42" s="646">
        <v>4</v>
      </c>
      <c r="X42" s="646" t="s">
        <v>868</v>
      </c>
    </row>
    <row r="43" spans="22:25" x14ac:dyDescent="0.2">
      <c r="W43" s="646">
        <v>5</v>
      </c>
      <c r="X43" s="646" t="s">
        <v>869</v>
      </c>
    </row>
    <row r="44" spans="22:25" x14ac:dyDescent="0.2">
      <c r="W44" s="646">
        <v>6</v>
      </c>
      <c r="X44" s="646" t="s">
        <v>870</v>
      </c>
    </row>
    <row r="45" spans="22:25" x14ac:dyDescent="0.2">
      <c r="W45" s="646">
        <v>7</v>
      </c>
      <c r="X45" s="646" t="s">
        <v>871</v>
      </c>
    </row>
    <row r="46" spans="22:25" x14ac:dyDescent="0.2">
      <c r="W46" s="646">
        <v>8</v>
      </c>
      <c r="X46" s="646" t="s">
        <v>872</v>
      </c>
    </row>
    <row r="47" spans="22:25" x14ac:dyDescent="0.2">
      <c r="W47" s="646">
        <v>9</v>
      </c>
      <c r="X47" s="646" t="s">
        <v>873</v>
      </c>
    </row>
    <row r="48" spans="22:25" x14ac:dyDescent="0.2">
      <c r="W48" s="646">
        <v>10</v>
      </c>
      <c r="X48" s="646" t="s">
        <v>874</v>
      </c>
    </row>
    <row r="49" spans="23:24" x14ac:dyDescent="0.2">
      <c r="W49" s="646">
        <v>11</v>
      </c>
      <c r="X49" s="646" t="s">
        <v>875</v>
      </c>
    </row>
    <row r="50" spans="23:24" x14ac:dyDescent="0.2">
      <c r="W50" s="646">
        <v>12</v>
      </c>
      <c r="X50" s="646" t="s">
        <v>876</v>
      </c>
    </row>
    <row r="51" spans="23:24" x14ac:dyDescent="0.2">
      <c r="W51" s="646">
        <v>13</v>
      </c>
      <c r="X51" s="646" t="s">
        <v>863</v>
      </c>
    </row>
    <row r="52" spans="23:24" x14ac:dyDescent="0.2">
      <c r="W52" s="646">
        <v>14</v>
      </c>
      <c r="X52" s="646" t="s">
        <v>864</v>
      </c>
    </row>
    <row r="53" spans="23:24" x14ac:dyDescent="0.2">
      <c r="W53" s="646">
        <v>15</v>
      </c>
      <c r="X53" s="646" t="s">
        <v>877</v>
      </c>
    </row>
    <row r="54" spans="23:24" x14ac:dyDescent="0.2">
      <c r="W54" s="646">
        <v>16</v>
      </c>
      <c r="X54" s="646" t="s">
        <v>878</v>
      </c>
    </row>
    <row r="55" spans="23:24" x14ac:dyDescent="0.2">
      <c r="W55" s="646">
        <v>17</v>
      </c>
      <c r="X55" s="646" t="s">
        <v>860</v>
      </c>
    </row>
  </sheetData>
  <sheetProtection sheet="1" objects="1" scenarios="1"/>
  <phoneticPr fontId="2"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42358" r:id="rId4" name="TextBox3">
          <controlPr defaultSize="0" autoLine="0" linkedCell="Contacts!B71" r:id="rId5">
            <anchor moveWithCells="1">
              <from>
                <xdr:col>5</xdr:col>
                <xdr:colOff>219075</xdr:colOff>
                <xdr:row>7</xdr:row>
                <xdr:rowOff>47625</xdr:rowOff>
              </from>
              <to>
                <xdr:col>11</xdr:col>
                <xdr:colOff>247650</xdr:colOff>
                <xdr:row>8</xdr:row>
                <xdr:rowOff>142875</xdr:rowOff>
              </to>
            </anchor>
          </controlPr>
        </control>
      </mc:Choice>
      <mc:Fallback>
        <control shapeId="142358" r:id="rId4" name="TextBox3"/>
      </mc:Fallback>
    </mc:AlternateContent>
    <mc:AlternateContent xmlns:mc="http://schemas.openxmlformats.org/markup-compatibility/2006">
      <mc:Choice Requires="x14">
        <control shapeId="142359" r:id="rId6" name="TextBox4">
          <controlPr defaultSize="0" autoLine="0" linkedCell="Contacts!B72" r:id="rId7">
            <anchor moveWithCells="1">
              <from>
                <xdr:col>5</xdr:col>
                <xdr:colOff>219075</xdr:colOff>
                <xdr:row>9</xdr:row>
                <xdr:rowOff>123825</xdr:rowOff>
              </from>
              <to>
                <xdr:col>7</xdr:col>
                <xdr:colOff>552450</xdr:colOff>
                <xdr:row>11</xdr:row>
                <xdr:rowOff>57150</xdr:rowOff>
              </to>
            </anchor>
          </controlPr>
        </control>
      </mc:Choice>
      <mc:Fallback>
        <control shapeId="142359" r:id="rId6" name="TextBox4"/>
      </mc:Fallback>
    </mc:AlternateContent>
    <mc:AlternateContent xmlns:mc="http://schemas.openxmlformats.org/markup-compatibility/2006">
      <mc:Choice Requires="x14">
        <control shapeId="142360" r:id="rId8" name="TextBox5">
          <controlPr defaultSize="0" autoLine="0" linkedCell="Contacts!B75" r:id="rId9">
            <anchor moveWithCells="1">
              <from>
                <xdr:col>5</xdr:col>
                <xdr:colOff>219075</xdr:colOff>
                <xdr:row>12</xdr:row>
                <xdr:rowOff>28575</xdr:rowOff>
              </from>
              <to>
                <xdr:col>11</xdr:col>
                <xdr:colOff>247650</xdr:colOff>
                <xdr:row>13</xdr:row>
                <xdr:rowOff>123825</xdr:rowOff>
              </to>
            </anchor>
          </controlPr>
        </control>
      </mc:Choice>
      <mc:Fallback>
        <control shapeId="142360" r:id="rId8" name="TextBox5"/>
      </mc:Fallback>
    </mc:AlternateContent>
    <mc:AlternateContent xmlns:mc="http://schemas.openxmlformats.org/markup-compatibility/2006">
      <mc:Choice Requires="x14">
        <control shapeId="142361" r:id="rId10" name="TextBox6">
          <controlPr defaultSize="0" autoLine="0" linkedCell="Contacts!B74" r:id="rId11">
            <anchor moveWithCells="1">
              <from>
                <xdr:col>9</xdr:col>
                <xdr:colOff>57150</xdr:colOff>
                <xdr:row>9</xdr:row>
                <xdr:rowOff>142875</xdr:rowOff>
              </from>
              <to>
                <xdr:col>11</xdr:col>
                <xdr:colOff>247650</xdr:colOff>
                <xdr:row>11</xdr:row>
                <xdr:rowOff>76200</xdr:rowOff>
              </to>
            </anchor>
          </controlPr>
        </control>
      </mc:Choice>
      <mc:Fallback>
        <control shapeId="142361" r:id="rId10" name="TextBox6"/>
      </mc:Fallback>
    </mc:AlternateContent>
    <mc:AlternateContent xmlns:mc="http://schemas.openxmlformats.org/markup-compatibility/2006">
      <mc:Choice Requires="x14">
        <control shapeId="142362" r:id="rId12" name="ToggleReferenceColumns">
          <controlPr defaultSize="0" autoLine="0" r:id="rId13">
            <anchor moveWithCells="1">
              <from>
                <xdr:col>1</xdr:col>
                <xdr:colOff>152400</xdr:colOff>
                <xdr:row>35</xdr:row>
                <xdr:rowOff>123825</xdr:rowOff>
              </from>
              <to>
                <xdr:col>5</xdr:col>
                <xdr:colOff>133350</xdr:colOff>
                <xdr:row>37</xdr:row>
                <xdr:rowOff>123825</xdr:rowOff>
              </to>
            </anchor>
          </controlPr>
        </control>
      </mc:Choice>
      <mc:Fallback>
        <control shapeId="142362" r:id="rId12" name="ToggleReferenceColumns"/>
      </mc:Fallback>
    </mc:AlternateContent>
    <mc:AlternateContent xmlns:mc="http://schemas.openxmlformats.org/markup-compatibility/2006">
      <mc:Choice Requires="x14">
        <control shapeId="142363" r:id="rId14" name="TogglePreAuditColums">
          <controlPr defaultSize="0" autoLine="0" r:id="rId15">
            <anchor moveWithCells="1">
              <from>
                <xdr:col>1</xdr:col>
                <xdr:colOff>152400</xdr:colOff>
                <xdr:row>38</xdr:row>
                <xdr:rowOff>47625</xdr:rowOff>
              </from>
              <to>
                <xdr:col>5</xdr:col>
                <xdr:colOff>133350</xdr:colOff>
                <xdr:row>40</xdr:row>
                <xdr:rowOff>38100</xdr:rowOff>
              </to>
            </anchor>
          </controlPr>
        </control>
      </mc:Choice>
      <mc:Fallback>
        <control shapeId="142363" r:id="rId14" name="TogglePreAuditColums"/>
      </mc:Fallback>
    </mc:AlternateContent>
    <mc:AlternateContent xmlns:mc="http://schemas.openxmlformats.org/markup-compatibility/2006">
      <mc:Choice Requires="x14">
        <control shapeId="142364" r:id="rId16" name="ToggleHiddenColumns">
          <controlPr defaultSize="0" autoLine="0" r:id="rId17">
            <anchor moveWithCells="1">
              <from>
                <xdr:col>1</xdr:col>
                <xdr:colOff>152400</xdr:colOff>
                <xdr:row>43</xdr:row>
                <xdr:rowOff>9525</xdr:rowOff>
              </from>
              <to>
                <xdr:col>5</xdr:col>
                <xdr:colOff>133350</xdr:colOff>
                <xdr:row>45</xdr:row>
                <xdr:rowOff>9525</xdr:rowOff>
              </to>
            </anchor>
          </controlPr>
        </control>
      </mc:Choice>
      <mc:Fallback>
        <control shapeId="142364" r:id="rId16" name="ToggleHiddenColumns"/>
      </mc:Fallback>
    </mc:AlternateContent>
    <mc:AlternateContent xmlns:mc="http://schemas.openxmlformats.org/markup-compatibility/2006">
      <mc:Choice Requires="x14">
        <control shapeId="142354" r:id="rId18" name="Drop Down 18">
          <controlPr defaultSize="0" autoLine="0" autoPict="0">
            <anchor moveWithCells="1">
              <from>
                <xdr:col>5</xdr:col>
                <xdr:colOff>219075</xdr:colOff>
                <xdr:row>20</xdr:row>
                <xdr:rowOff>28575</xdr:rowOff>
              </from>
              <to>
                <xdr:col>6</xdr:col>
                <xdr:colOff>495300</xdr:colOff>
                <xdr:row>21</xdr:row>
                <xdr:rowOff>123825</xdr:rowOff>
              </to>
            </anchor>
          </controlPr>
        </control>
      </mc:Choice>
    </mc:AlternateContent>
    <mc:AlternateContent xmlns:mc="http://schemas.openxmlformats.org/markup-compatibility/2006">
      <mc:Choice Requires="x14">
        <control shapeId="142355" r:id="rId19" name="Drop Down 19">
          <controlPr defaultSize="0" autoLine="0" autoPict="0">
            <anchor moveWithCells="1">
              <from>
                <xdr:col>5</xdr:col>
                <xdr:colOff>219075</xdr:colOff>
                <xdr:row>22</xdr:row>
                <xdr:rowOff>114300</xdr:rowOff>
              </from>
              <to>
                <xdr:col>7</xdr:col>
                <xdr:colOff>600075</xdr:colOff>
                <xdr:row>24</xdr:row>
                <xdr:rowOff>47625</xdr:rowOff>
              </to>
            </anchor>
          </controlPr>
        </control>
      </mc:Choice>
    </mc:AlternateContent>
    <mc:AlternateContent xmlns:mc="http://schemas.openxmlformats.org/markup-compatibility/2006">
      <mc:Choice Requires="x14">
        <control shapeId="142356" r:id="rId20" name="Drop Down 20">
          <controlPr defaultSize="0" autoLine="0" autoPict="0">
            <anchor moveWithCells="1">
              <from>
                <xdr:col>5</xdr:col>
                <xdr:colOff>219075</xdr:colOff>
                <xdr:row>17</xdr:row>
                <xdr:rowOff>57150</xdr:rowOff>
              </from>
              <to>
                <xdr:col>7</xdr:col>
                <xdr:colOff>238125</xdr:colOff>
                <xdr:row>18</xdr:row>
                <xdr:rowOff>152400</xdr:rowOff>
              </to>
            </anchor>
          </controlPr>
        </control>
      </mc:Choice>
    </mc:AlternateContent>
    <mc:AlternateContent xmlns:mc="http://schemas.openxmlformats.org/markup-compatibility/2006">
      <mc:Choice Requires="x14">
        <control shapeId="142373" r:id="rId21" name="Drop Down 37">
          <controlPr defaultSize="0" autoLine="0" autoPict="0">
            <anchor moveWithCells="1">
              <from>
                <xdr:col>5</xdr:col>
                <xdr:colOff>228600</xdr:colOff>
                <xdr:row>4</xdr:row>
                <xdr:rowOff>104775</xdr:rowOff>
              </from>
              <to>
                <xdr:col>11</xdr:col>
                <xdr:colOff>238125</xdr:colOff>
                <xdr:row>6</xdr:row>
                <xdr:rowOff>28575</xdr:rowOff>
              </to>
            </anchor>
          </controlPr>
        </control>
      </mc:Choice>
    </mc:AlternateContent>
    <mc:AlternateContent xmlns:mc="http://schemas.openxmlformats.org/markup-compatibility/2006">
      <mc:Choice Requires="x14">
        <control shapeId="142375" r:id="rId22" name="Drop Down 39">
          <controlPr defaultSize="0" autoLine="0" autoPict="0">
            <anchor moveWithCells="1">
              <from>
                <xdr:col>5</xdr:col>
                <xdr:colOff>219075</xdr:colOff>
                <xdr:row>14</xdr:row>
                <xdr:rowOff>142875</xdr:rowOff>
              </from>
              <to>
                <xdr:col>7</xdr:col>
                <xdr:colOff>238125</xdr:colOff>
                <xdr:row>16</xdr:row>
                <xdr:rowOff>76200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indexed="42"/>
    <pageSetUpPr fitToPage="1"/>
  </sheetPr>
  <dimension ref="A1:L43"/>
  <sheetViews>
    <sheetView showGridLines="0" zoomScaleNormal="100" workbookViewId="0">
      <pane xSplit="2" ySplit="4" topLeftCell="C5" activePane="bottomRight" state="frozen"/>
      <selection pane="topRight"/>
      <selection pane="bottomLeft"/>
      <selection pane="bottomRight" activeCell="J11" sqref="J11"/>
    </sheetView>
  </sheetViews>
  <sheetFormatPr defaultColWidth="9.140625" defaultRowHeight="21.75" customHeight="1" x14ac:dyDescent="0.25"/>
  <cols>
    <col min="1" max="1" width="25.7109375" style="25" customWidth="1"/>
    <col min="2" max="2" width="5.140625" style="25" bestFit="1" customWidth="1"/>
    <col min="3" max="11" width="8.7109375" style="25" customWidth="1"/>
    <col min="12" max="16384" width="9.140625" style="25"/>
  </cols>
  <sheetData>
    <row r="1" spans="1:12" ht="12.75" customHeight="1" x14ac:dyDescent="0.25">
      <c r="A1" s="1053" t="str">
        <f>muni&amp; " - "&amp;S71J&amp; " - "&amp;Head57</f>
        <v>KZN225 Msunduzi - Supporting Table SC4 Monthly Budget Statement - aged creditors  - Mid-Year Assessment</v>
      </c>
      <c r="B1" s="1053"/>
      <c r="C1" s="1053"/>
      <c r="D1" s="1053"/>
      <c r="E1" s="1053"/>
      <c r="F1" s="1053"/>
      <c r="G1" s="1053"/>
      <c r="H1" s="1053"/>
      <c r="I1" s="1053"/>
      <c r="J1" s="1053"/>
      <c r="K1" s="1053"/>
    </row>
    <row r="2" spans="1:12" ht="12.75" customHeight="1" x14ac:dyDescent="0.25">
      <c r="A2" s="1042" t="str">
        <f>desc</f>
        <v>Description</v>
      </c>
      <c r="B2" s="1074" t="s">
        <v>734</v>
      </c>
      <c r="C2" s="137" t="str">
        <f>Head2</f>
        <v>Budget Year 2020/21</v>
      </c>
      <c r="D2" s="137"/>
      <c r="E2" s="137"/>
      <c r="F2" s="137"/>
      <c r="G2" s="137"/>
      <c r="H2" s="137"/>
      <c r="I2" s="137"/>
      <c r="J2" s="137"/>
      <c r="K2" s="138"/>
      <c r="L2" s="1064" t="s">
        <v>74</v>
      </c>
    </row>
    <row r="3" spans="1:12" ht="12.75" customHeight="1" x14ac:dyDescent="0.25">
      <c r="A3" s="1073"/>
      <c r="B3" s="1075"/>
      <c r="C3" s="1076" t="s">
        <v>726</v>
      </c>
      <c r="D3" s="1067" t="s">
        <v>727</v>
      </c>
      <c r="E3" s="1067" t="s">
        <v>728</v>
      </c>
      <c r="F3" s="1067" t="s">
        <v>729</v>
      </c>
      <c r="G3" s="1067" t="s">
        <v>730</v>
      </c>
      <c r="H3" s="1067" t="s">
        <v>731</v>
      </c>
      <c r="I3" s="1067" t="s">
        <v>732</v>
      </c>
      <c r="J3" s="1069" t="s">
        <v>733</v>
      </c>
      <c r="K3" s="1071" t="s">
        <v>506</v>
      </c>
      <c r="L3" s="1065"/>
    </row>
    <row r="4" spans="1:12" ht="12.75" customHeight="1" x14ac:dyDescent="0.25">
      <c r="A4" s="34" t="s">
        <v>667</v>
      </c>
      <c r="B4" s="1072"/>
      <c r="C4" s="1077"/>
      <c r="D4" s="1068"/>
      <c r="E4" s="1068"/>
      <c r="F4" s="1068"/>
      <c r="G4" s="1068"/>
      <c r="H4" s="1068"/>
      <c r="I4" s="1068"/>
      <c r="J4" s="1070"/>
      <c r="K4" s="1072"/>
      <c r="L4" s="1066"/>
    </row>
    <row r="5" spans="1:12" ht="12.75" customHeight="1" x14ac:dyDescent="0.25">
      <c r="A5" s="87" t="s">
        <v>663</v>
      </c>
      <c r="B5" s="169"/>
      <c r="C5" s="287"/>
      <c r="D5" s="165"/>
      <c r="E5" s="165"/>
      <c r="F5" s="165"/>
      <c r="G5" s="165"/>
      <c r="H5" s="165"/>
      <c r="I5" s="165"/>
      <c r="J5" s="285"/>
      <c r="K5" s="166"/>
      <c r="L5" s="166"/>
    </row>
    <row r="6" spans="1:12" ht="12.75" customHeight="1" x14ac:dyDescent="0.25">
      <c r="A6" s="39" t="s">
        <v>686</v>
      </c>
      <c r="B6" s="169" t="s">
        <v>687</v>
      </c>
      <c r="C6" s="753">
        <v>134369110.33000001</v>
      </c>
      <c r="D6" s="733">
        <v>-22272539.52</v>
      </c>
      <c r="E6" s="733">
        <v>-22272539.52</v>
      </c>
      <c r="F6" s="733">
        <v>-22272539.52</v>
      </c>
      <c r="G6" s="733">
        <v>130570724.97</v>
      </c>
      <c r="H6" s="733"/>
      <c r="I6" s="733"/>
      <c r="J6" s="735"/>
      <c r="K6" s="109">
        <f>SUM(C6:J6)</f>
        <v>198122216.74000001</v>
      </c>
      <c r="L6" s="748">
        <v>304985824.36000001</v>
      </c>
    </row>
    <row r="7" spans="1:12" ht="12.75" customHeight="1" x14ac:dyDescent="0.25">
      <c r="A7" s="39" t="s">
        <v>688</v>
      </c>
      <c r="B7" s="169" t="s">
        <v>689</v>
      </c>
      <c r="C7" s="753">
        <v>51601261.670000002</v>
      </c>
      <c r="D7" s="733">
        <v>44463030.210000001</v>
      </c>
      <c r="E7" s="733">
        <v>9270221.0600000005</v>
      </c>
      <c r="F7" s="733">
        <v>86157453.780000001</v>
      </c>
      <c r="G7" s="733">
        <v>77812681.010000005</v>
      </c>
      <c r="H7" s="733"/>
      <c r="I7" s="733"/>
      <c r="J7" s="735"/>
      <c r="K7" s="109">
        <f t="shared" ref="K7:K13" si="0">SUM(C7:J7)</f>
        <v>269304647.73000002</v>
      </c>
      <c r="L7" s="748">
        <v>88291134.840000004</v>
      </c>
    </row>
    <row r="8" spans="1:12" ht="12.75" customHeight="1" x14ac:dyDescent="0.25">
      <c r="A8" s="39" t="s">
        <v>690</v>
      </c>
      <c r="B8" s="169" t="s">
        <v>691</v>
      </c>
      <c r="C8" s="753"/>
      <c r="D8" s="733"/>
      <c r="E8" s="733"/>
      <c r="F8" s="733"/>
      <c r="G8" s="733"/>
      <c r="H8" s="733"/>
      <c r="I8" s="733"/>
      <c r="J8" s="735"/>
      <c r="K8" s="109">
        <f t="shared" si="0"/>
        <v>0</v>
      </c>
      <c r="L8" s="748">
        <v>0</v>
      </c>
    </row>
    <row r="9" spans="1:12" ht="12.75" customHeight="1" x14ac:dyDescent="0.25">
      <c r="A9" s="39" t="s">
        <v>591</v>
      </c>
      <c r="B9" s="169" t="s">
        <v>592</v>
      </c>
      <c r="C9" s="753"/>
      <c r="D9" s="733"/>
      <c r="E9" s="733"/>
      <c r="F9" s="733"/>
      <c r="G9" s="733"/>
      <c r="H9" s="733"/>
      <c r="I9" s="733"/>
      <c r="J9" s="735"/>
      <c r="K9" s="109">
        <f t="shared" si="0"/>
        <v>0</v>
      </c>
      <c r="L9" s="748">
        <v>152808254.80000001</v>
      </c>
    </row>
    <row r="10" spans="1:12" ht="12.75" customHeight="1" x14ac:dyDescent="0.25">
      <c r="A10" s="39" t="s">
        <v>593</v>
      </c>
      <c r="B10" s="169" t="s">
        <v>594</v>
      </c>
      <c r="C10" s="753"/>
      <c r="D10" s="733"/>
      <c r="E10" s="733"/>
      <c r="F10" s="733"/>
      <c r="G10" s="733"/>
      <c r="H10" s="733"/>
      <c r="I10" s="733"/>
      <c r="J10" s="735"/>
      <c r="K10" s="109">
        <f t="shared" si="0"/>
        <v>0</v>
      </c>
      <c r="L10" s="748">
        <v>0</v>
      </c>
    </row>
    <row r="11" spans="1:12" ht="12.75" customHeight="1" x14ac:dyDescent="0.25">
      <c r="A11" s="39" t="s">
        <v>595</v>
      </c>
      <c r="B11" s="169" t="s">
        <v>596</v>
      </c>
      <c r="C11" s="753"/>
      <c r="D11" s="733"/>
      <c r="E11" s="733"/>
      <c r="F11" s="733"/>
      <c r="G11" s="733"/>
      <c r="H11" s="733"/>
      <c r="I11" s="733"/>
      <c r="J11" s="735"/>
      <c r="K11" s="109">
        <f t="shared" si="0"/>
        <v>0</v>
      </c>
      <c r="L11" s="748">
        <v>0</v>
      </c>
    </row>
    <row r="12" spans="1:12" ht="12.75" customHeight="1" x14ac:dyDescent="0.25">
      <c r="A12" s="39" t="s">
        <v>597</v>
      </c>
      <c r="B12" s="169" t="s">
        <v>598</v>
      </c>
      <c r="C12" s="753">
        <v>40500904.689999998</v>
      </c>
      <c r="D12" s="733">
        <v>-155702.99</v>
      </c>
      <c r="E12" s="733">
        <v>1798.04</v>
      </c>
      <c r="F12" s="733">
        <v>4779.8</v>
      </c>
      <c r="G12" s="733">
        <v>-173063.26</v>
      </c>
      <c r="H12" s="733"/>
      <c r="I12" s="733"/>
      <c r="J12" s="735"/>
      <c r="K12" s="109">
        <f t="shared" si="0"/>
        <v>40178716.279999994</v>
      </c>
      <c r="L12" s="748">
        <v>49431901.299999982</v>
      </c>
    </row>
    <row r="13" spans="1:12" ht="12.75" customHeight="1" x14ac:dyDescent="0.25">
      <c r="A13" s="39" t="s">
        <v>599</v>
      </c>
      <c r="B13" s="169" t="s">
        <v>600</v>
      </c>
      <c r="C13" s="753">
        <v>0</v>
      </c>
      <c r="D13" s="733"/>
      <c r="E13" s="733"/>
      <c r="F13" s="733"/>
      <c r="G13" s="733"/>
      <c r="H13" s="733"/>
      <c r="I13" s="733"/>
      <c r="J13" s="735"/>
      <c r="K13" s="109">
        <f t="shared" si="0"/>
        <v>0</v>
      </c>
      <c r="L13" s="748">
        <v>0</v>
      </c>
    </row>
    <row r="14" spans="1:12" ht="12.75" customHeight="1" x14ac:dyDescent="0.25">
      <c r="A14" s="39" t="s">
        <v>718</v>
      </c>
      <c r="B14" s="169" t="s">
        <v>601</v>
      </c>
      <c r="C14" s="753"/>
      <c r="D14" s="733"/>
      <c r="E14" s="733"/>
      <c r="F14" s="733"/>
      <c r="G14" s="733"/>
      <c r="H14" s="733"/>
      <c r="I14" s="733"/>
      <c r="J14" s="735"/>
      <c r="K14" s="109">
        <f>SUM(C14:J14)</f>
        <v>0</v>
      </c>
      <c r="L14" s="748">
        <v>227312122.72999999</v>
      </c>
    </row>
    <row r="15" spans="1:12" ht="12.75" customHeight="1" x14ac:dyDescent="0.25">
      <c r="A15" s="53" t="s">
        <v>919</v>
      </c>
      <c r="B15" s="284">
        <v>1000</v>
      </c>
      <c r="C15" s="271">
        <f>SUM(C6:C14)</f>
        <v>226471276.69</v>
      </c>
      <c r="D15" s="55">
        <f t="shared" ref="D15:J15" si="1">SUM(D6:D14)</f>
        <v>22034787.700000003</v>
      </c>
      <c r="E15" s="55">
        <f t="shared" si="1"/>
        <v>-13000520.42</v>
      </c>
      <c r="F15" s="55">
        <f t="shared" si="1"/>
        <v>63889694.060000002</v>
      </c>
      <c r="G15" s="55">
        <f t="shared" si="1"/>
        <v>208210342.72000003</v>
      </c>
      <c r="H15" s="55">
        <f t="shared" si="1"/>
        <v>0</v>
      </c>
      <c r="I15" s="55">
        <f t="shared" si="1"/>
        <v>0</v>
      </c>
      <c r="J15" s="235">
        <f t="shared" si="1"/>
        <v>0</v>
      </c>
      <c r="K15" s="112">
        <f>SUM(K6:K14)</f>
        <v>507605580.75</v>
      </c>
      <c r="L15" s="160">
        <f>SUM(L6:L14)</f>
        <v>822829238.02999997</v>
      </c>
    </row>
    <row r="16" spans="1:12" ht="12.75" customHeight="1" x14ac:dyDescent="0.25">
      <c r="A16" s="57" t="s">
        <v>789</v>
      </c>
      <c r="B16" s="167"/>
      <c r="C16" s="49"/>
      <c r="D16" s="49"/>
      <c r="E16" s="49"/>
      <c r="F16" s="49"/>
      <c r="G16" s="49"/>
      <c r="H16" s="49"/>
      <c r="I16" s="49"/>
      <c r="J16" s="49"/>
      <c r="K16" s="49"/>
    </row>
    <row r="17" spans="1:1" ht="12.75" customHeight="1" x14ac:dyDescent="0.25">
      <c r="A17" s="121" t="s">
        <v>620</v>
      </c>
    </row>
    <row r="18" spans="1:1" ht="12.75" x14ac:dyDescent="0.25"/>
    <row r="19" spans="1:1" ht="12.75" x14ac:dyDescent="0.25"/>
    <row r="20" spans="1:1" ht="12.75" x14ac:dyDescent="0.25"/>
    <row r="21" spans="1:1" ht="12.75" x14ac:dyDescent="0.25"/>
    <row r="22" spans="1:1" ht="12.75" x14ac:dyDescent="0.25"/>
    <row r="23" spans="1:1" ht="12.75" x14ac:dyDescent="0.25"/>
    <row r="24" spans="1:1" ht="12.75" x14ac:dyDescent="0.25"/>
    <row r="25" spans="1:1" ht="12.75" x14ac:dyDescent="0.25"/>
    <row r="26" spans="1:1" ht="12.75" x14ac:dyDescent="0.25"/>
    <row r="27" spans="1:1" ht="12.75" x14ac:dyDescent="0.25"/>
    <row r="28" spans="1:1" ht="12.75" x14ac:dyDescent="0.25"/>
    <row r="29" spans="1:1" ht="12.75" x14ac:dyDescent="0.25"/>
    <row r="30" spans="1:1" ht="12.75" x14ac:dyDescent="0.25"/>
    <row r="31" spans="1:1" ht="12.75" customHeight="1" x14ac:dyDescent="0.25"/>
    <row r="32" spans="1:1" ht="11.45" customHeight="1" x14ac:dyDescent="0.25"/>
    <row r="33" ht="11.45" customHeight="1" x14ac:dyDescent="0.25"/>
    <row r="34" ht="11.45" customHeight="1" x14ac:dyDescent="0.25"/>
    <row r="35" ht="11.45" customHeight="1" x14ac:dyDescent="0.25"/>
    <row r="36" ht="11.45" customHeight="1" x14ac:dyDescent="0.25"/>
    <row r="37" ht="11.45" customHeight="1" x14ac:dyDescent="0.25"/>
    <row r="38" ht="11.45" customHeight="1" x14ac:dyDescent="0.25"/>
    <row r="39" ht="11.45" customHeight="1" x14ac:dyDescent="0.25"/>
    <row r="40" ht="11.45" customHeight="1" x14ac:dyDescent="0.25"/>
    <row r="41" ht="11.45" customHeight="1" x14ac:dyDescent="0.25"/>
    <row r="42" ht="11.45" customHeight="1" x14ac:dyDescent="0.25"/>
    <row r="43" ht="11.45" customHeight="1" x14ac:dyDescent="0.25"/>
  </sheetData>
  <sheetProtection sheet="1" objects="1" scenarios="1"/>
  <mergeCells count="13">
    <mergeCell ref="L2:L4"/>
    <mergeCell ref="A1:K1"/>
    <mergeCell ref="I3:I4"/>
    <mergeCell ref="J3:J4"/>
    <mergeCell ref="K3:K4"/>
    <mergeCell ref="E3:E4"/>
    <mergeCell ref="F3:F4"/>
    <mergeCell ref="G3:G4"/>
    <mergeCell ref="H3:H4"/>
    <mergeCell ref="A2:A3"/>
    <mergeCell ref="B2:B4"/>
    <mergeCell ref="C3:C4"/>
    <mergeCell ref="D3:D4"/>
  </mergeCells>
  <phoneticPr fontId="2" type="noConversion"/>
  <printOptions horizontalCentered="1"/>
  <pageMargins left="0.36" right="0.17" top="0.79" bottom="0.59" header="0.51181102362204722" footer="0.39"/>
  <pageSetup paperSize="9" scale="9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indexed="42"/>
    <pageSetUpPr fitToPage="1"/>
  </sheetPr>
  <dimension ref="A1:P62"/>
  <sheetViews>
    <sheetView showGridLines="0" zoomScaleNormal="100" workbookViewId="0">
      <pane xSplit="1" ySplit="3" topLeftCell="G4" activePane="bottomRight" state="frozen"/>
      <selection pane="topRight"/>
      <selection pane="bottomLeft"/>
      <selection pane="bottomRight" activeCell="M20" sqref="M20"/>
    </sheetView>
  </sheetViews>
  <sheetFormatPr defaultColWidth="9.140625" defaultRowHeight="12.75" x14ac:dyDescent="0.25"/>
  <cols>
    <col min="1" max="1" width="34.140625" style="25" customWidth="1"/>
    <col min="2" max="2" width="3.5703125" style="68" customWidth="1"/>
    <col min="3" max="10" width="8.7109375" style="25" customWidth="1"/>
    <col min="11" max="11" width="9.85546875" style="25" customWidth="1"/>
    <col min="12" max="12" width="9.85546875" style="25" bestFit="1" customWidth="1"/>
    <col min="13" max="14" width="9.85546875" style="25" customWidth="1"/>
    <col min="15" max="15" width="9.5703125" style="25" customWidth="1"/>
    <col min="16" max="16" width="9.85546875" style="25" customWidth="1"/>
    <col min="17" max="19" width="9.5703125" style="25" customWidth="1"/>
    <col min="20" max="20" width="9.85546875" style="25" customWidth="1"/>
    <col min="21" max="23" width="9.5703125" style="25" customWidth="1"/>
    <col min="24" max="25" width="9.85546875" style="25" customWidth="1"/>
    <col min="26" max="16384" width="9.140625" style="25"/>
  </cols>
  <sheetData>
    <row r="1" spans="1:15" ht="13.5" x14ac:dyDescent="0.25">
      <c r="A1" s="1053" t="str">
        <f>muni&amp; " - "&amp;S71K&amp; " - "&amp;Head57</f>
        <v>KZN225 Msunduzi - Supporting Table SC5 Monthly Budget Statement - investment portfolio  - Mid-Year Assessment</v>
      </c>
      <c r="B1" s="1053"/>
      <c r="C1" s="1053"/>
      <c r="D1" s="1053"/>
      <c r="E1" s="1053"/>
      <c r="F1" s="1053"/>
      <c r="G1" s="1053"/>
      <c r="H1" s="1053"/>
      <c r="I1" s="1053"/>
      <c r="J1" s="1053"/>
      <c r="K1" s="67"/>
    </row>
    <row r="2" spans="1:15" ht="54" customHeight="1" x14ac:dyDescent="0.25">
      <c r="A2" s="270" t="s">
        <v>894</v>
      </c>
      <c r="B2" s="1074" t="s">
        <v>571</v>
      </c>
      <c r="C2" s="26" t="s">
        <v>126</v>
      </c>
      <c r="D2" s="1080" t="s">
        <v>607</v>
      </c>
      <c r="E2" s="948" t="s">
        <v>1356</v>
      </c>
      <c r="F2" s="948" t="s">
        <v>1357</v>
      </c>
      <c r="G2" s="948" t="s">
        <v>1358</v>
      </c>
      <c r="H2" s="948" t="s">
        <v>1359</v>
      </c>
      <c r="I2" s="948" t="s">
        <v>1360</v>
      </c>
      <c r="J2" s="1082" t="s">
        <v>608</v>
      </c>
      <c r="K2" s="149" t="s">
        <v>1361</v>
      </c>
      <c r="L2" s="142" t="s">
        <v>1362</v>
      </c>
      <c r="M2" s="26" t="s">
        <v>1363</v>
      </c>
      <c r="N2" s="26" t="s">
        <v>1364</v>
      </c>
      <c r="O2" s="142" t="s">
        <v>1365</v>
      </c>
    </row>
    <row r="3" spans="1:15" ht="12.75" customHeight="1" x14ac:dyDescent="0.25">
      <c r="A3" s="34" t="s">
        <v>667</v>
      </c>
      <c r="B3" s="1072"/>
      <c r="C3" s="413" t="s">
        <v>127</v>
      </c>
      <c r="D3" s="1081"/>
      <c r="E3" s="949"/>
      <c r="F3" s="949"/>
      <c r="G3" s="949"/>
      <c r="H3" s="949"/>
      <c r="I3" s="949"/>
      <c r="J3" s="1070"/>
      <c r="K3" s="1078"/>
      <c r="L3" s="1078"/>
      <c r="M3" s="1078"/>
      <c r="N3" s="1078"/>
      <c r="O3" s="1079"/>
    </row>
    <row r="4" spans="1:15" ht="12.75" customHeight="1" x14ac:dyDescent="0.25">
      <c r="A4" s="549" t="s">
        <v>339</v>
      </c>
      <c r="B4" s="171"/>
      <c r="C4" s="551"/>
      <c r="D4" s="535"/>
      <c r="E4" s="535"/>
      <c r="F4" s="535"/>
      <c r="G4" s="535"/>
      <c r="H4" s="535"/>
      <c r="I4" s="535"/>
      <c r="J4" s="536"/>
      <c r="O4" s="184"/>
    </row>
    <row r="5" spans="1:15" ht="12.75" customHeight="1" x14ac:dyDescent="0.25">
      <c r="A5" s="776" t="s">
        <v>1447</v>
      </c>
      <c r="B5" s="169"/>
      <c r="C5" s="950"/>
      <c r="D5" s="951"/>
      <c r="E5" s="951"/>
      <c r="F5" s="951"/>
      <c r="G5" s="951"/>
      <c r="H5" s="951"/>
      <c r="I5" s="951"/>
      <c r="J5" s="952"/>
      <c r="K5" s="953">
        <v>139532503.69</v>
      </c>
      <c r="L5" s="954">
        <v>241936.41</v>
      </c>
      <c r="M5" s="955">
        <v>-412335683.37</v>
      </c>
      <c r="N5" s="955">
        <v>527356082.73000002</v>
      </c>
      <c r="O5" s="956">
        <f t="shared" ref="O5:O11" si="0">SUM(K5:N5)</f>
        <v>254794839.46000004</v>
      </c>
    </row>
    <row r="6" spans="1:15" ht="12.75" customHeight="1" x14ac:dyDescent="0.25">
      <c r="A6" s="776"/>
      <c r="B6" s="169"/>
      <c r="C6" s="950"/>
      <c r="D6" s="951"/>
      <c r="E6" s="951"/>
      <c r="F6" s="951"/>
      <c r="G6" s="951"/>
      <c r="H6" s="951"/>
      <c r="I6" s="951"/>
      <c r="J6" s="952"/>
      <c r="K6" s="953"/>
      <c r="L6" s="954"/>
      <c r="M6" s="955"/>
      <c r="N6" s="955"/>
      <c r="O6" s="956">
        <f t="shared" si="0"/>
        <v>0</v>
      </c>
    </row>
    <row r="7" spans="1:15" ht="12.75" customHeight="1" x14ac:dyDescent="0.25">
      <c r="A7" s="776"/>
      <c r="B7" s="169"/>
      <c r="C7" s="950"/>
      <c r="D7" s="951"/>
      <c r="E7" s="951"/>
      <c r="F7" s="951"/>
      <c r="G7" s="951"/>
      <c r="H7" s="951"/>
      <c r="I7" s="951"/>
      <c r="J7" s="952"/>
      <c r="K7" s="953"/>
      <c r="L7" s="954"/>
      <c r="M7" s="955"/>
      <c r="N7" s="955"/>
      <c r="O7" s="956">
        <f t="shared" si="0"/>
        <v>0</v>
      </c>
    </row>
    <row r="8" spans="1:15" ht="12.75" customHeight="1" x14ac:dyDescent="0.25">
      <c r="A8" s="776"/>
      <c r="B8" s="169"/>
      <c r="C8" s="950"/>
      <c r="D8" s="951"/>
      <c r="E8" s="951"/>
      <c r="F8" s="951"/>
      <c r="G8" s="951"/>
      <c r="H8" s="951"/>
      <c r="I8" s="951"/>
      <c r="J8" s="952"/>
      <c r="K8" s="953"/>
      <c r="L8" s="954"/>
      <c r="M8" s="955"/>
      <c r="N8" s="955"/>
      <c r="O8" s="956">
        <f t="shared" si="0"/>
        <v>0</v>
      </c>
    </row>
    <row r="9" spans="1:15" ht="12.75" customHeight="1" x14ac:dyDescent="0.25">
      <c r="A9" s="776"/>
      <c r="B9" s="169"/>
      <c r="C9" s="950"/>
      <c r="D9" s="951"/>
      <c r="E9" s="951"/>
      <c r="F9" s="951"/>
      <c r="G9" s="951"/>
      <c r="H9" s="951"/>
      <c r="I9" s="951"/>
      <c r="J9" s="952"/>
      <c r="K9" s="953"/>
      <c r="L9" s="954"/>
      <c r="M9" s="955"/>
      <c r="N9" s="955"/>
      <c r="O9" s="956">
        <f t="shared" si="0"/>
        <v>0</v>
      </c>
    </row>
    <row r="10" spans="1:15" ht="12.75" customHeight="1" x14ac:dyDescent="0.25">
      <c r="A10" s="776"/>
      <c r="B10" s="169"/>
      <c r="C10" s="950"/>
      <c r="D10" s="951"/>
      <c r="E10" s="951"/>
      <c r="F10" s="951"/>
      <c r="G10" s="951"/>
      <c r="H10" s="951"/>
      <c r="I10" s="951"/>
      <c r="J10" s="952"/>
      <c r="K10" s="953"/>
      <c r="L10" s="954"/>
      <c r="M10" s="955"/>
      <c r="N10" s="955"/>
      <c r="O10" s="956">
        <f t="shared" si="0"/>
        <v>0</v>
      </c>
    </row>
    <row r="11" spans="1:15" ht="12.75" customHeight="1" x14ac:dyDescent="0.25">
      <c r="A11" s="776"/>
      <c r="B11" s="169"/>
      <c r="C11" s="950"/>
      <c r="D11" s="951"/>
      <c r="E11" s="951"/>
      <c r="F11" s="951"/>
      <c r="G11" s="951"/>
      <c r="H11" s="951"/>
      <c r="I11" s="951"/>
      <c r="J11" s="952"/>
      <c r="K11" s="953"/>
      <c r="L11" s="954"/>
      <c r="M11" s="955"/>
      <c r="N11" s="955"/>
      <c r="O11" s="956">
        <f t="shared" si="0"/>
        <v>0</v>
      </c>
    </row>
    <row r="12" spans="1:15" ht="12.75" customHeight="1" x14ac:dyDescent="0.25">
      <c r="A12" s="547" t="s">
        <v>128</v>
      </c>
      <c r="B12" s="169"/>
      <c r="C12" s="969"/>
      <c r="D12" s="957"/>
      <c r="E12" s="957"/>
      <c r="F12" s="957"/>
      <c r="G12" s="957"/>
      <c r="H12" s="957"/>
      <c r="I12" s="957"/>
      <c r="J12" s="958"/>
      <c r="K12" s="959">
        <f>SUM(K5:K11)</f>
        <v>139532503.69</v>
      </c>
      <c r="L12" s="960"/>
      <c r="M12" s="961">
        <f>SUM(M5:M11)</f>
        <v>-412335683.37</v>
      </c>
      <c r="N12" s="961">
        <f>SUM(N5:N11)</f>
        <v>527356082.73000002</v>
      </c>
      <c r="O12" s="962">
        <f>SUM(O5:O11)</f>
        <v>254794839.46000004</v>
      </c>
    </row>
    <row r="13" spans="1:15" ht="3.75" customHeight="1" x14ac:dyDescent="0.25">
      <c r="A13" s="548"/>
      <c r="B13" s="169"/>
      <c r="C13" s="604"/>
      <c r="D13" s="963"/>
      <c r="E13" s="963"/>
      <c r="F13" s="963"/>
      <c r="G13" s="963"/>
      <c r="H13" s="963"/>
      <c r="I13" s="963"/>
      <c r="J13" s="964"/>
      <c r="K13" s="965"/>
      <c r="L13" s="966"/>
      <c r="M13" s="967"/>
      <c r="N13" s="967"/>
      <c r="O13" s="968"/>
    </row>
    <row r="14" spans="1:15" ht="12.75" customHeight="1" x14ac:dyDescent="0.25">
      <c r="A14" s="549" t="s">
        <v>129</v>
      </c>
      <c r="B14" s="169"/>
      <c r="C14" s="604"/>
      <c r="D14" s="963"/>
      <c r="E14" s="963"/>
      <c r="F14" s="963"/>
      <c r="G14" s="963"/>
      <c r="H14" s="963"/>
      <c r="I14" s="963"/>
      <c r="J14" s="964"/>
      <c r="K14" s="965"/>
      <c r="L14" s="966"/>
      <c r="M14" s="967"/>
      <c r="N14" s="967"/>
      <c r="O14" s="968"/>
    </row>
    <row r="15" spans="1:15" ht="12.75" customHeight="1" x14ac:dyDescent="0.25">
      <c r="A15" s="777" t="s">
        <v>1447</v>
      </c>
      <c r="B15" s="169"/>
      <c r="C15" s="950"/>
      <c r="D15" s="951"/>
      <c r="E15" s="951"/>
      <c r="F15" s="951"/>
      <c r="G15" s="951"/>
      <c r="H15" s="951"/>
      <c r="I15" s="951"/>
      <c r="J15" s="952"/>
      <c r="K15" s="953">
        <v>3092717.62</v>
      </c>
      <c r="L15" s="954">
        <v>6524.73</v>
      </c>
      <c r="M15" s="955"/>
      <c r="N15" s="955">
        <v>1808999.9999999995</v>
      </c>
      <c r="O15" s="956">
        <f t="shared" ref="O15:O21" si="1">SUM(K15:N15)</f>
        <v>4908242.3499999996</v>
      </c>
    </row>
    <row r="16" spans="1:15" ht="12.75" customHeight="1" x14ac:dyDescent="0.25">
      <c r="A16" s="777"/>
      <c r="B16" s="169"/>
      <c r="C16" s="950"/>
      <c r="D16" s="951"/>
      <c r="E16" s="951"/>
      <c r="F16" s="951"/>
      <c r="G16" s="951"/>
      <c r="H16" s="951"/>
      <c r="I16" s="951"/>
      <c r="J16" s="952"/>
      <c r="K16" s="953"/>
      <c r="L16" s="954"/>
      <c r="M16" s="955"/>
      <c r="N16" s="955"/>
      <c r="O16" s="956">
        <f t="shared" si="1"/>
        <v>0</v>
      </c>
    </row>
    <row r="17" spans="1:16" ht="12.75" customHeight="1" x14ac:dyDescent="0.25">
      <c r="A17" s="777"/>
      <c r="B17" s="169"/>
      <c r="C17" s="950"/>
      <c r="D17" s="951"/>
      <c r="E17" s="951"/>
      <c r="F17" s="951"/>
      <c r="G17" s="951"/>
      <c r="H17" s="951"/>
      <c r="I17" s="951"/>
      <c r="J17" s="952"/>
      <c r="K17" s="953"/>
      <c r="L17" s="954"/>
      <c r="M17" s="955"/>
      <c r="N17" s="955"/>
      <c r="O17" s="956">
        <f t="shared" si="1"/>
        <v>0</v>
      </c>
    </row>
    <row r="18" spans="1:16" ht="12.75" customHeight="1" x14ac:dyDescent="0.25">
      <c r="A18" s="777"/>
      <c r="B18" s="169"/>
      <c r="C18" s="950"/>
      <c r="D18" s="951"/>
      <c r="E18" s="951"/>
      <c r="F18" s="951"/>
      <c r="G18" s="951"/>
      <c r="H18" s="951"/>
      <c r="I18" s="951"/>
      <c r="J18" s="952"/>
      <c r="K18" s="953"/>
      <c r="L18" s="954"/>
      <c r="M18" s="955"/>
      <c r="N18" s="955"/>
      <c r="O18" s="956">
        <f t="shared" si="1"/>
        <v>0</v>
      </c>
    </row>
    <row r="19" spans="1:16" ht="12.75" customHeight="1" x14ac:dyDescent="0.25">
      <c r="A19" s="777"/>
      <c r="B19" s="169"/>
      <c r="C19" s="950"/>
      <c r="D19" s="951"/>
      <c r="E19" s="951"/>
      <c r="F19" s="951"/>
      <c r="G19" s="951"/>
      <c r="H19" s="951"/>
      <c r="I19" s="1000"/>
      <c r="J19" s="952"/>
      <c r="K19" s="953"/>
      <c r="L19" s="954"/>
      <c r="M19" s="955"/>
      <c r="N19" s="955"/>
      <c r="O19" s="956">
        <f t="shared" si="1"/>
        <v>0</v>
      </c>
    </row>
    <row r="20" spans="1:16" ht="12.75" customHeight="1" x14ac:dyDescent="0.25">
      <c r="A20" s="777"/>
      <c r="B20" s="169"/>
      <c r="C20" s="950"/>
      <c r="D20" s="951"/>
      <c r="E20" s="951"/>
      <c r="F20" s="951"/>
      <c r="G20" s="951"/>
      <c r="H20" s="951"/>
      <c r="I20" s="951"/>
      <c r="J20" s="952"/>
      <c r="K20" s="953"/>
      <c r="L20" s="954"/>
      <c r="M20" s="955"/>
      <c r="N20" s="955"/>
      <c r="O20" s="956">
        <f t="shared" si="1"/>
        <v>0</v>
      </c>
    </row>
    <row r="21" spans="1:16" ht="12.75" customHeight="1" x14ac:dyDescent="0.25">
      <c r="A21" s="777"/>
      <c r="B21" s="169"/>
      <c r="C21" s="950"/>
      <c r="D21" s="951"/>
      <c r="E21" s="951"/>
      <c r="F21" s="951"/>
      <c r="G21" s="951"/>
      <c r="H21" s="951"/>
      <c r="I21" s="951"/>
      <c r="J21" s="952"/>
      <c r="K21" s="953"/>
      <c r="L21" s="954"/>
      <c r="M21" s="955"/>
      <c r="N21" s="955"/>
      <c r="O21" s="956">
        <f t="shared" si="1"/>
        <v>0</v>
      </c>
    </row>
    <row r="22" spans="1:16" ht="12.75" customHeight="1" x14ac:dyDescent="0.25">
      <c r="A22" s="547" t="s">
        <v>130</v>
      </c>
      <c r="B22" s="169"/>
      <c r="C22" s="969"/>
      <c r="D22" s="957"/>
      <c r="E22" s="957"/>
      <c r="F22" s="957"/>
      <c r="G22" s="957"/>
      <c r="H22" s="957"/>
      <c r="I22" s="957"/>
      <c r="J22" s="958"/>
      <c r="K22" s="959">
        <f>SUM(K15:K21)</f>
        <v>3092717.62</v>
      </c>
      <c r="L22" s="960"/>
      <c r="M22" s="961">
        <f>SUM(M15:M21)</f>
        <v>0</v>
      </c>
      <c r="N22" s="961">
        <f>SUM(N15:N21)</f>
        <v>1808999.9999999995</v>
      </c>
      <c r="O22" s="962">
        <f>SUM(O15:O21)</f>
        <v>4908242.3499999996</v>
      </c>
    </row>
    <row r="23" spans="1:16" ht="3.75" customHeight="1" x14ac:dyDescent="0.25">
      <c r="A23" s="548"/>
      <c r="B23" s="169"/>
      <c r="C23" s="604"/>
      <c r="D23" s="963"/>
      <c r="E23" s="963"/>
      <c r="F23" s="963"/>
      <c r="G23" s="963"/>
      <c r="H23" s="963"/>
      <c r="I23" s="963"/>
      <c r="J23" s="964"/>
      <c r="K23" s="970"/>
      <c r="L23" s="971"/>
      <c r="M23" s="972"/>
      <c r="N23" s="972"/>
      <c r="O23" s="973"/>
    </row>
    <row r="24" spans="1:16" ht="12.75" customHeight="1" x14ac:dyDescent="0.25">
      <c r="A24" s="550" t="s">
        <v>131</v>
      </c>
      <c r="B24" s="236">
        <v>2</v>
      </c>
      <c r="C24" s="974"/>
      <c r="D24" s="975"/>
      <c r="E24" s="975"/>
      <c r="F24" s="975"/>
      <c r="G24" s="975"/>
      <c r="H24" s="975"/>
      <c r="I24" s="975"/>
      <c r="J24" s="976"/>
      <c r="K24" s="977">
        <f>K12+K22</f>
        <v>142625221.31</v>
      </c>
      <c r="L24" s="978"/>
      <c r="M24" s="979">
        <f>M12+M22</f>
        <v>-412335683.37</v>
      </c>
      <c r="N24" s="979">
        <f>N12+N22</f>
        <v>529165082.73000002</v>
      </c>
      <c r="O24" s="980">
        <f>O12+O22</f>
        <v>259703081.81000003</v>
      </c>
    </row>
    <row r="25" spans="1:16" ht="12.75" customHeight="1" x14ac:dyDescent="0.25">
      <c r="A25" s="57" t="str">
        <f>head27a</f>
        <v>References</v>
      </c>
      <c r="B25" s="58"/>
      <c r="C25" s="84"/>
      <c r="D25" s="84"/>
      <c r="E25" s="84"/>
      <c r="F25" s="84"/>
      <c r="G25" s="84"/>
      <c r="H25" s="84"/>
      <c r="I25" s="84"/>
      <c r="J25" s="84"/>
      <c r="N25" s="67"/>
      <c r="O25" s="67"/>
      <c r="P25" s="67"/>
    </row>
    <row r="26" spans="1:16" ht="12.75" customHeight="1" x14ac:dyDescent="0.25">
      <c r="A26" s="584" t="s">
        <v>1366</v>
      </c>
      <c r="B26" s="58"/>
      <c r="C26" s="84"/>
      <c r="D26" s="84"/>
      <c r="E26" s="84"/>
      <c r="F26" s="84"/>
      <c r="G26" s="84"/>
      <c r="H26" s="84"/>
      <c r="I26" s="84"/>
      <c r="J26" s="84"/>
      <c r="N26" s="67"/>
      <c r="O26" s="67"/>
      <c r="P26" s="67"/>
    </row>
    <row r="27" spans="1:16" ht="12.75" customHeight="1" x14ac:dyDescent="0.25">
      <c r="A27" s="584" t="s">
        <v>1367</v>
      </c>
      <c r="B27" s="58"/>
      <c r="C27" s="62"/>
      <c r="D27" s="61"/>
      <c r="E27" s="62"/>
      <c r="F27" s="62"/>
      <c r="G27" s="62"/>
      <c r="H27" s="62"/>
      <c r="I27" s="62"/>
      <c r="J27" s="62"/>
    </row>
    <row r="28" spans="1:16" ht="11.25" customHeight="1" x14ac:dyDescent="0.25">
      <c r="A28" s="584" t="s">
        <v>1368</v>
      </c>
      <c r="B28" s="58"/>
      <c r="C28" s="84"/>
      <c r="D28" s="84"/>
      <c r="E28" s="84"/>
      <c r="F28" s="84"/>
      <c r="G28" s="84"/>
      <c r="H28" s="84"/>
      <c r="I28" s="84"/>
      <c r="J28" s="84"/>
    </row>
    <row r="29" spans="1:16" ht="11.25" customHeight="1" x14ac:dyDescent="0.25"/>
    <row r="30" spans="1:16" ht="11.25" customHeight="1" x14ac:dyDescent="0.25"/>
    <row r="31" spans="1:16" ht="11.25" customHeight="1" x14ac:dyDescent="0.25"/>
    <row r="32" spans="1:16"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5" ht="11.25" customHeight="1" x14ac:dyDescent="0.25"/>
    <row r="56" ht="5.0999999999999996" customHeight="1" x14ac:dyDescent="0.25"/>
    <row r="57" ht="11.25" customHeight="1" x14ac:dyDescent="0.25"/>
    <row r="58" ht="11.25" customHeight="1" x14ac:dyDescent="0.25"/>
    <row r="59" ht="5.0999999999999996" customHeight="1" x14ac:dyDescent="0.25"/>
    <row r="60" ht="11.25" customHeight="1" x14ac:dyDescent="0.25"/>
    <row r="61" ht="11.25" customHeight="1" x14ac:dyDescent="0.25"/>
    <row r="62" ht="11.25" customHeight="1" x14ac:dyDescent="0.25"/>
  </sheetData>
  <sheetProtection sheet="1" objects="1" scenarios="1"/>
  <mergeCells count="5">
    <mergeCell ref="K3:O3"/>
    <mergeCell ref="A1:J1"/>
    <mergeCell ref="B2:B3"/>
    <mergeCell ref="D2:D3"/>
    <mergeCell ref="J2:J3"/>
  </mergeCells>
  <phoneticPr fontId="2" type="noConversion"/>
  <printOptions horizontalCentered="1"/>
  <pageMargins left="0.36" right="0.17" top="0.79" bottom="0.6" header="0.51181102362204722" footer="0.41"/>
  <pageSetup paperSize="9" scale="9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indexed="42"/>
    <pageSetUpPr fitToPage="1"/>
  </sheetPr>
  <dimension ref="A1:K100"/>
  <sheetViews>
    <sheetView showGridLines="0" zoomScaleNormal="100" workbookViewId="0">
      <pane xSplit="2" ySplit="4" topLeftCell="C49" activePane="bottomRight" state="frozen"/>
      <selection pane="topRight"/>
      <selection pane="bottomLeft"/>
      <selection pane="bottomRight" activeCell="F37" sqref="F37:G37"/>
    </sheetView>
  </sheetViews>
  <sheetFormatPr defaultColWidth="9.140625"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3" t="str">
        <f>muni&amp; " - "&amp;S71L&amp; " - "&amp;Head57</f>
        <v>KZN225 Msunduzi - Supporting Table SC6 Monthly Budget Statement - transfers and grant receipts  - Mid-Year Assessment</v>
      </c>
      <c r="B1" s="1053"/>
      <c r="C1" s="1053"/>
      <c r="D1" s="1053"/>
      <c r="E1" s="1053"/>
      <c r="F1" s="1053"/>
      <c r="G1" s="1053"/>
      <c r="H1" s="1053"/>
      <c r="I1" s="1053"/>
      <c r="J1" s="1053"/>
      <c r="K1" s="1053"/>
    </row>
    <row r="2" spans="1:11" x14ac:dyDescent="0.25">
      <c r="A2" s="1042" t="str">
        <f>desc</f>
        <v>Description</v>
      </c>
      <c r="B2" s="1035" t="str">
        <f>head27</f>
        <v>Ref</v>
      </c>
      <c r="C2" s="139" t="str">
        <f>Head1</f>
        <v>2019/20</v>
      </c>
      <c r="D2" s="245" t="str">
        <f>Head2</f>
        <v>Budget Year 2020/21</v>
      </c>
      <c r="E2" s="229"/>
      <c r="F2" s="229"/>
      <c r="G2" s="229"/>
      <c r="H2" s="229"/>
      <c r="I2" s="229"/>
      <c r="J2" s="229"/>
      <c r="K2" s="230"/>
    </row>
    <row r="3" spans="1:11" ht="25.5" x14ac:dyDescent="0.25">
      <c r="A3" s="1043"/>
      <c r="B3" s="1046"/>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3"/>
      <c r="E4" s="294"/>
      <c r="F4" s="295"/>
      <c r="G4" s="295"/>
      <c r="H4" s="295"/>
      <c r="I4" s="295"/>
      <c r="J4" s="296" t="s">
        <v>575</v>
      </c>
      <c r="K4" s="297"/>
    </row>
    <row r="5" spans="1:11" ht="12.75" customHeight="1" x14ac:dyDescent="0.25">
      <c r="A5" s="35" t="s">
        <v>973</v>
      </c>
      <c r="B5" s="169" t="s">
        <v>957</v>
      </c>
      <c r="C5" s="52"/>
      <c r="D5" s="300"/>
      <c r="E5" s="301"/>
      <c r="F5" s="301"/>
      <c r="G5" s="301"/>
      <c r="H5" s="301"/>
      <c r="I5" s="301"/>
      <c r="J5" s="301"/>
      <c r="K5" s="302"/>
    </row>
    <row r="6" spans="1:11" ht="5.0999999999999996" customHeight="1" x14ac:dyDescent="0.25">
      <c r="A6" s="35"/>
      <c r="B6" s="169"/>
      <c r="C6" s="52"/>
      <c r="D6" s="300"/>
      <c r="E6" s="301"/>
      <c r="F6" s="301"/>
      <c r="G6" s="301"/>
      <c r="H6" s="301"/>
      <c r="I6" s="301"/>
      <c r="J6" s="301"/>
      <c r="K6" s="302"/>
    </row>
    <row r="7" spans="1:11" ht="12.75" customHeight="1" x14ac:dyDescent="0.25">
      <c r="A7" s="549" t="s">
        <v>61</v>
      </c>
      <c r="B7" s="169"/>
      <c r="C7" s="52"/>
      <c r="D7" s="300"/>
      <c r="E7" s="301"/>
      <c r="F7" s="301"/>
      <c r="G7" s="301"/>
      <c r="H7" s="301"/>
      <c r="I7" s="301"/>
      <c r="J7" s="301"/>
      <c r="K7" s="302"/>
    </row>
    <row r="8" spans="1:11" ht="15.75" customHeight="1" x14ac:dyDescent="0.25">
      <c r="A8" s="106" t="s">
        <v>622</v>
      </c>
      <c r="B8" s="169"/>
      <c r="C8" s="109">
        <f t="shared" ref="C8:I8" si="0">SUM(C9:C16)</f>
        <v>0</v>
      </c>
      <c r="D8" s="51">
        <f t="shared" si="0"/>
        <v>608608575</v>
      </c>
      <c r="E8" s="50">
        <f t="shared" si="0"/>
        <v>697606575</v>
      </c>
      <c r="F8" s="50">
        <f t="shared" si="0"/>
        <v>274977000</v>
      </c>
      <c r="G8" s="50">
        <f t="shared" si="0"/>
        <v>551752000</v>
      </c>
      <c r="H8" s="50">
        <f t="shared" si="0"/>
        <v>348803287.5</v>
      </c>
      <c r="I8" s="50">
        <f t="shared" si="0"/>
        <v>202948712.5</v>
      </c>
      <c r="J8" s="343">
        <f>IF(I8=0,"",I8/H8)</f>
        <v>0.58184288902380255</v>
      </c>
      <c r="K8" s="194">
        <f>SUM(K9:K16)</f>
        <v>697606575</v>
      </c>
    </row>
    <row r="9" spans="1:11" ht="12.75" customHeight="1" x14ac:dyDescent="0.25">
      <c r="A9" s="733" t="s">
        <v>986</v>
      </c>
      <c r="B9" s="169"/>
      <c r="C9" s="779"/>
      <c r="D9" s="780">
        <v>593405000</v>
      </c>
      <c r="E9" s="734">
        <v>682403000</v>
      </c>
      <c r="F9" s="734">
        <v>266977000</v>
      </c>
      <c r="G9" s="734">
        <v>534052000</v>
      </c>
      <c r="H9" s="733">
        <f>E9/12*6</f>
        <v>341201500</v>
      </c>
      <c r="I9" s="514">
        <f>G9-H9</f>
        <v>192850500</v>
      </c>
      <c r="J9" s="552">
        <f>IF(I9=0,"",I9/H9)</f>
        <v>0.56521000054220161</v>
      </c>
      <c r="K9" s="736">
        <f>E9</f>
        <v>682403000</v>
      </c>
    </row>
    <row r="10" spans="1:11" ht="12.75" customHeight="1" x14ac:dyDescent="0.25">
      <c r="A10" s="733" t="s">
        <v>988</v>
      </c>
      <c r="B10" s="169"/>
      <c r="C10" s="748"/>
      <c r="D10" s="745">
        <v>1700000</v>
      </c>
      <c r="E10" s="733">
        <v>1700000</v>
      </c>
      <c r="F10" s="733"/>
      <c r="G10" s="733">
        <v>1700000</v>
      </c>
      <c r="H10" s="733">
        <f>E10/12*6</f>
        <v>850000</v>
      </c>
      <c r="I10" s="514">
        <f t="shared" ref="I10:I15" si="1">G10-H10</f>
        <v>850000</v>
      </c>
      <c r="J10" s="552">
        <f t="shared" ref="J10:J15" si="2">IF(I10=0,"",I10/H10)</f>
        <v>1</v>
      </c>
      <c r="K10" s="735">
        <f>E10</f>
        <v>1700000</v>
      </c>
    </row>
    <row r="11" spans="1:11" ht="12.75" customHeight="1" x14ac:dyDescent="0.25">
      <c r="A11" s="733" t="s">
        <v>566</v>
      </c>
      <c r="B11" s="169"/>
      <c r="C11" s="748"/>
      <c r="D11" s="745"/>
      <c r="E11" s="733"/>
      <c r="F11" s="733"/>
      <c r="G11" s="733"/>
      <c r="H11" s="733"/>
      <c r="I11" s="514">
        <f t="shared" si="1"/>
        <v>0</v>
      </c>
      <c r="J11" s="552" t="str">
        <f t="shared" si="2"/>
        <v/>
      </c>
      <c r="K11" s="735"/>
    </row>
    <row r="12" spans="1:11" ht="12.75" customHeight="1" x14ac:dyDescent="0.25">
      <c r="A12" s="733" t="s">
        <v>995</v>
      </c>
      <c r="B12" s="169"/>
      <c r="C12" s="748"/>
      <c r="D12" s="745">
        <v>4388000</v>
      </c>
      <c r="E12" s="733">
        <v>4388000</v>
      </c>
      <c r="F12" s="733"/>
      <c r="G12" s="733"/>
      <c r="H12" s="733">
        <f>E12/12*6</f>
        <v>2194000</v>
      </c>
      <c r="I12" s="514">
        <f t="shared" si="1"/>
        <v>-2194000</v>
      </c>
      <c r="J12" s="552">
        <f t="shared" si="2"/>
        <v>-1</v>
      </c>
      <c r="K12" s="735">
        <f>E12</f>
        <v>4388000</v>
      </c>
    </row>
    <row r="13" spans="1:11" ht="12.75" customHeight="1" x14ac:dyDescent="0.25">
      <c r="A13" s="733" t="s">
        <v>989</v>
      </c>
      <c r="B13" s="169"/>
      <c r="C13" s="748"/>
      <c r="D13" s="745"/>
      <c r="E13" s="733"/>
      <c r="F13" s="733"/>
      <c r="G13" s="733"/>
      <c r="H13" s="733"/>
      <c r="I13" s="514">
        <f t="shared" si="1"/>
        <v>0</v>
      </c>
      <c r="J13" s="552" t="str">
        <f t="shared" si="2"/>
        <v/>
      </c>
      <c r="K13" s="735"/>
    </row>
    <row r="14" spans="1:11" ht="12.75" customHeight="1" x14ac:dyDescent="0.25">
      <c r="A14" s="733" t="s">
        <v>1450</v>
      </c>
      <c r="B14" s="169"/>
      <c r="C14" s="748"/>
      <c r="D14" s="745"/>
      <c r="E14" s="733"/>
      <c r="F14" s="733"/>
      <c r="G14" s="733"/>
      <c r="H14" s="733"/>
      <c r="I14" s="514">
        <f t="shared" si="1"/>
        <v>0</v>
      </c>
      <c r="J14" s="552" t="str">
        <f t="shared" si="2"/>
        <v/>
      </c>
      <c r="K14" s="735"/>
    </row>
    <row r="15" spans="1:11" ht="12.75" customHeight="1" x14ac:dyDescent="0.25">
      <c r="A15" s="733" t="s">
        <v>990</v>
      </c>
      <c r="B15" s="169"/>
      <c r="C15" s="748"/>
      <c r="D15" s="745"/>
      <c r="E15" s="733"/>
      <c r="F15" s="733"/>
      <c r="G15" s="733"/>
      <c r="H15" s="733"/>
      <c r="I15" s="514">
        <f t="shared" si="1"/>
        <v>0</v>
      </c>
      <c r="J15" s="552" t="str">
        <f t="shared" si="2"/>
        <v/>
      </c>
      <c r="K15" s="735"/>
    </row>
    <row r="16" spans="1:11" ht="12.75" customHeight="1" x14ac:dyDescent="0.25">
      <c r="A16" s="733" t="s">
        <v>1433</v>
      </c>
      <c r="B16" s="169"/>
      <c r="C16" s="748"/>
      <c r="D16" s="745">
        <v>9115575</v>
      </c>
      <c r="E16" s="733">
        <v>9115575</v>
      </c>
      <c r="F16" s="733">
        <v>8000000</v>
      </c>
      <c r="G16" s="733">
        <v>16000000</v>
      </c>
      <c r="H16" s="733">
        <f>E16/12*6</f>
        <v>4557787.5</v>
      </c>
      <c r="I16" s="44">
        <f>G16-H16</f>
        <v>11442212.5</v>
      </c>
      <c r="J16" s="124">
        <f>IF(I16=0,"",I16/H16)</f>
        <v>2.5104752031550395</v>
      </c>
      <c r="K16" s="735">
        <f>E16</f>
        <v>9115575</v>
      </c>
    </row>
    <row r="17" spans="1:11" ht="12.75" customHeight="1" x14ac:dyDescent="0.25">
      <c r="A17" s="106" t="s">
        <v>623</v>
      </c>
      <c r="B17" s="169"/>
      <c r="C17" s="516">
        <f t="shared" ref="C17:I17" si="3">SUM(C18:C28)</f>
        <v>0</v>
      </c>
      <c r="D17" s="475">
        <f t="shared" si="3"/>
        <v>66874665</v>
      </c>
      <c r="E17" s="430">
        <f t="shared" si="3"/>
        <v>66874665</v>
      </c>
      <c r="F17" s="430">
        <f t="shared" si="3"/>
        <v>8271847.5100000016</v>
      </c>
      <c r="G17" s="430">
        <f t="shared" si="3"/>
        <v>52736398.530000001</v>
      </c>
      <c r="H17" s="430">
        <f t="shared" si="3"/>
        <v>33437332.5</v>
      </c>
      <c r="I17" s="430">
        <f t="shared" si="3"/>
        <v>19299066.030000001</v>
      </c>
      <c r="J17" s="553">
        <f>IF(I17=0,"",I17/H17)</f>
        <v>0.57717122111938812</v>
      </c>
      <c r="K17" s="513">
        <f>SUM(K18:K28)</f>
        <v>66874665</v>
      </c>
    </row>
    <row r="18" spans="1:11" ht="12.75" customHeight="1" x14ac:dyDescent="0.25">
      <c r="A18" s="1002" t="s">
        <v>623</v>
      </c>
      <c r="B18" s="169"/>
      <c r="C18" s="779"/>
      <c r="D18" s="780"/>
      <c r="E18" s="734"/>
      <c r="F18" s="734"/>
      <c r="G18" s="734"/>
      <c r="H18" s="734"/>
      <c r="I18" s="514">
        <f t="shared" ref="I18:I25" si="4">G18-H18</f>
        <v>0</v>
      </c>
      <c r="J18" s="552" t="str">
        <f t="shared" ref="J18:J25" si="5">IF(I18=0,"",I18/H18)</f>
        <v/>
      </c>
      <c r="K18" s="736"/>
    </row>
    <row r="19" spans="1:11" ht="12.75" customHeight="1" x14ac:dyDescent="0.25">
      <c r="A19" s="1002" t="s">
        <v>1452</v>
      </c>
      <c r="B19" s="169"/>
      <c r="C19" s="748"/>
      <c r="D19" s="745"/>
      <c r="E19" s="733"/>
      <c r="F19" s="733"/>
      <c r="G19" s="733">
        <v>1097000</v>
      </c>
      <c r="H19" s="733"/>
      <c r="I19" s="44">
        <f t="shared" si="4"/>
        <v>1097000</v>
      </c>
      <c r="J19" s="124" t="e">
        <f t="shared" si="5"/>
        <v>#DIV/0!</v>
      </c>
      <c r="K19" s="735"/>
    </row>
    <row r="20" spans="1:11" ht="12.75" customHeight="1" x14ac:dyDescent="0.25">
      <c r="A20" s="1002" t="s">
        <v>771</v>
      </c>
      <c r="B20" s="169"/>
      <c r="C20" s="748"/>
      <c r="D20" s="745"/>
      <c r="E20" s="733"/>
      <c r="F20" s="733"/>
      <c r="G20" s="733"/>
      <c r="H20" s="733"/>
      <c r="I20" s="44">
        <f t="shared" si="4"/>
        <v>0</v>
      </c>
      <c r="J20" s="124" t="str">
        <f t="shared" si="5"/>
        <v/>
      </c>
      <c r="K20" s="735"/>
    </row>
    <row r="21" spans="1:11" ht="12.75" customHeight="1" x14ac:dyDescent="0.25">
      <c r="A21" s="1002" t="s">
        <v>1434</v>
      </c>
      <c r="B21" s="169"/>
      <c r="C21" s="748"/>
      <c r="D21" s="745">
        <v>3603000</v>
      </c>
      <c r="E21" s="733">
        <v>3603000</v>
      </c>
      <c r="F21" s="733"/>
      <c r="G21" s="733"/>
      <c r="H21" s="733">
        <f t="shared" ref="H21:H24" si="6">E21/12*6</f>
        <v>1801500</v>
      </c>
      <c r="I21" s="44">
        <f t="shared" si="4"/>
        <v>-1801500</v>
      </c>
      <c r="J21" s="124">
        <f t="shared" si="5"/>
        <v>-1</v>
      </c>
      <c r="K21" s="735">
        <f t="shared" ref="K21:K24" si="7">E21</f>
        <v>3603000</v>
      </c>
    </row>
    <row r="22" spans="1:11" ht="12.75" customHeight="1" x14ac:dyDescent="0.25">
      <c r="A22" s="1002" t="s">
        <v>1435</v>
      </c>
      <c r="B22" s="169"/>
      <c r="C22" s="748"/>
      <c r="D22" s="745">
        <v>4264000</v>
      </c>
      <c r="E22" s="733">
        <v>4264000</v>
      </c>
      <c r="F22" s="733"/>
      <c r="G22" s="733"/>
      <c r="H22" s="733">
        <f t="shared" si="6"/>
        <v>2132000</v>
      </c>
      <c r="I22" s="44">
        <f t="shared" si="4"/>
        <v>-2132000</v>
      </c>
      <c r="J22" s="124">
        <f t="shared" si="5"/>
        <v>-1</v>
      </c>
      <c r="K22" s="735">
        <f t="shared" si="7"/>
        <v>4264000</v>
      </c>
    </row>
    <row r="23" spans="1:11" ht="12.75" customHeight="1" x14ac:dyDescent="0.25">
      <c r="A23" s="1002" t="s">
        <v>1436</v>
      </c>
      <c r="B23" s="169"/>
      <c r="C23" s="748"/>
      <c r="D23" s="745">
        <v>24079242</v>
      </c>
      <c r="E23" s="733">
        <v>24079242</v>
      </c>
      <c r="F23" s="733"/>
      <c r="G23" s="733"/>
      <c r="H23" s="733">
        <f t="shared" si="6"/>
        <v>12039621</v>
      </c>
      <c r="I23" s="44">
        <f t="shared" si="4"/>
        <v>-12039621</v>
      </c>
      <c r="J23" s="124">
        <f t="shared" si="5"/>
        <v>-1</v>
      </c>
      <c r="K23" s="735">
        <f t="shared" si="7"/>
        <v>24079242</v>
      </c>
    </row>
    <row r="24" spans="1:11" ht="12.75" customHeight="1" x14ac:dyDescent="0.25">
      <c r="A24" s="1002" t="s">
        <v>1437</v>
      </c>
      <c r="B24" s="169"/>
      <c r="C24" s="748"/>
      <c r="D24" s="745">
        <v>22740423</v>
      </c>
      <c r="E24" s="733">
        <v>22740423</v>
      </c>
      <c r="F24" s="733">
        <v>8271847.5100000016</v>
      </c>
      <c r="G24" s="733">
        <v>30453398.530000001</v>
      </c>
      <c r="H24" s="733">
        <f t="shared" si="6"/>
        <v>11370211.5</v>
      </c>
      <c r="I24" s="44">
        <f t="shared" si="4"/>
        <v>19083187.030000001</v>
      </c>
      <c r="J24" s="124">
        <f t="shared" si="5"/>
        <v>1.6783493455684619</v>
      </c>
      <c r="K24" s="735">
        <f t="shared" si="7"/>
        <v>22740423</v>
      </c>
    </row>
    <row r="25" spans="1:11" ht="12.75" customHeight="1" x14ac:dyDescent="0.25">
      <c r="A25" s="1002" t="s">
        <v>1451</v>
      </c>
      <c r="B25" s="169"/>
      <c r="C25" s="748"/>
      <c r="D25" s="745"/>
      <c r="E25" s="733"/>
      <c r="F25" s="733"/>
      <c r="G25" s="733">
        <v>21186000</v>
      </c>
      <c r="H25" s="733"/>
      <c r="I25" s="44">
        <f t="shared" si="4"/>
        <v>21186000</v>
      </c>
      <c r="J25" s="124" t="e">
        <f t="shared" si="5"/>
        <v>#DIV/0!</v>
      </c>
      <c r="K25" s="735"/>
    </row>
    <row r="26" spans="1:11" ht="12.75" customHeight="1" x14ac:dyDescent="0.25">
      <c r="A26" s="1002" t="s">
        <v>1438</v>
      </c>
      <c r="B26" s="169">
        <v>4</v>
      </c>
      <c r="C26" s="748"/>
      <c r="D26" s="745">
        <v>10200000</v>
      </c>
      <c r="E26" s="733">
        <v>10200000</v>
      </c>
      <c r="F26" s="733"/>
      <c r="G26" s="733"/>
      <c r="H26" s="733">
        <f t="shared" ref="H26:H28" si="8">E26/12*6</f>
        <v>5100000</v>
      </c>
      <c r="I26" s="44">
        <f t="shared" ref="I26:I32" si="9">G26-H26</f>
        <v>-5100000</v>
      </c>
      <c r="J26" s="124">
        <f t="shared" ref="J26:J33" si="10">IF(I26=0,"",I26/H26)</f>
        <v>-1</v>
      </c>
      <c r="K26" s="735">
        <f t="shared" ref="K26:K28" si="11">E26</f>
        <v>10200000</v>
      </c>
    </row>
    <row r="27" spans="1:11" ht="12.75" customHeight="1" x14ac:dyDescent="0.25">
      <c r="A27" s="1002" t="s">
        <v>1439</v>
      </c>
      <c r="B27" s="169"/>
      <c r="C27" s="748"/>
      <c r="D27" s="745">
        <v>488000</v>
      </c>
      <c r="E27" s="733">
        <v>488000</v>
      </c>
      <c r="F27" s="733"/>
      <c r="G27" s="733"/>
      <c r="H27" s="733">
        <f t="shared" si="8"/>
        <v>244000</v>
      </c>
      <c r="I27" s="44">
        <f t="shared" si="9"/>
        <v>-244000</v>
      </c>
      <c r="J27" s="124">
        <f t="shared" si="10"/>
        <v>-1</v>
      </c>
      <c r="K27" s="735">
        <f t="shared" si="11"/>
        <v>488000</v>
      </c>
    </row>
    <row r="28" spans="1:11" ht="12.75" customHeight="1" x14ac:dyDescent="0.25">
      <c r="A28" s="1002" t="s">
        <v>1440</v>
      </c>
      <c r="B28" s="169"/>
      <c r="C28" s="748"/>
      <c r="D28" s="745">
        <v>1500000</v>
      </c>
      <c r="E28" s="733">
        <v>1500000</v>
      </c>
      <c r="F28" s="733"/>
      <c r="G28" s="733"/>
      <c r="H28" s="733">
        <f t="shared" si="8"/>
        <v>750000</v>
      </c>
      <c r="I28" s="44">
        <f t="shared" si="9"/>
        <v>-750000</v>
      </c>
      <c r="J28" s="124">
        <f t="shared" si="10"/>
        <v>-1</v>
      </c>
      <c r="K28" s="735">
        <f t="shared" si="11"/>
        <v>1500000</v>
      </c>
    </row>
    <row r="29" spans="1:11" ht="12.75" customHeight="1" x14ac:dyDescent="0.25">
      <c r="A29" s="106" t="s">
        <v>519</v>
      </c>
      <c r="B29" s="169"/>
      <c r="C29" s="516">
        <f t="shared" ref="C29:H29" si="12">SUM(C30:C30)</f>
        <v>0</v>
      </c>
      <c r="D29" s="475">
        <f t="shared" si="12"/>
        <v>0</v>
      </c>
      <c r="E29" s="430">
        <f t="shared" si="12"/>
        <v>0</v>
      </c>
      <c r="F29" s="430">
        <f t="shared" si="12"/>
        <v>0</v>
      </c>
      <c r="G29" s="430">
        <f t="shared" si="12"/>
        <v>0</v>
      </c>
      <c r="H29" s="430">
        <f t="shared" si="12"/>
        <v>0</v>
      </c>
      <c r="I29" s="514">
        <f t="shared" si="9"/>
        <v>0</v>
      </c>
      <c r="J29" s="552" t="str">
        <f t="shared" si="10"/>
        <v/>
      </c>
      <c r="K29" s="513">
        <f>SUM(K30:K30)</f>
        <v>0</v>
      </c>
    </row>
    <row r="30" spans="1:11" ht="12.75" customHeight="1" x14ac:dyDescent="0.25">
      <c r="A30" s="781" t="s">
        <v>567</v>
      </c>
      <c r="B30" s="169"/>
      <c r="C30" s="783"/>
      <c r="D30" s="784"/>
      <c r="E30" s="737"/>
      <c r="F30" s="737"/>
      <c r="G30" s="737"/>
      <c r="H30" s="737"/>
      <c r="I30" s="514">
        <f t="shared" si="9"/>
        <v>0</v>
      </c>
      <c r="J30" s="552" t="str">
        <f t="shared" si="10"/>
        <v/>
      </c>
      <c r="K30" s="738"/>
    </row>
    <row r="31" spans="1:11" ht="12.75" customHeight="1" x14ac:dyDescent="0.25">
      <c r="A31" s="106" t="s">
        <v>818</v>
      </c>
      <c r="B31" s="169"/>
      <c r="C31" s="516">
        <f t="shared" ref="C31:H31" si="13">SUM(C32:C32)</f>
        <v>0</v>
      </c>
      <c r="D31" s="475">
        <f t="shared" si="13"/>
        <v>0</v>
      </c>
      <c r="E31" s="430">
        <f t="shared" si="13"/>
        <v>0</v>
      </c>
      <c r="F31" s="430">
        <f t="shared" si="13"/>
        <v>0</v>
      </c>
      <c r="G31" s="430">
        <f t="shared" si="13"/>
        <v>0</v>
      </c>
      <c r="H31" s="430">
        <f t="shared" si="13"/>
        <v>0</v>
      </c>
      <c r="I31" s="514">
        <f t="shared" si="9"/>
        <v>0</v>
      </c>
      <c r="J31" s="552" t="str">
        <f t="shared" si="10"/>
        <v/>
      </c>
      <c r="K31" s="513">
        <f>SUM(K32:K32)</f>
        <v>0</v>
      </c>
    </row>
    <row r="32" spans="1:11" ht="12.75" customHeight="1" x14ac:dyDescent="0.25">
      <c r="A32" s="781" t="s">
        <v>567</v>
      </c>
      <c r="B32" s="169"/>
      <c r="C32" s="783"/>
      <c r="D32" s="784"/>
      <c r="E32" s="737"/>
      <c r="F32" s="737"/>
      <c r="G32" s="737"/>
      <c r="H32" s="737"/>
      <c r="I32" s="514">
        <f t="shared" si="9"/>
        <v>0</v>
      </c>
      <c r="J32" s="552" t="str">
        <f t="shared" si="10"/>
        <v/>
      </c>
      <c r="K32" s="738"/>
    </row>
    <row r="33" spans="1:11" ht="12.75" customHeight="1" x14ac:dyDescent="0.25">
      <c r="A33" s="558" t="s">
        <v>62</v>
      </c>
      <c r="B33" s="233">
        <v>5</v>
      </c>
      <c r="C33" s="243">
        <f t="shared" ref="C33:I33" si="14">C8+C17+C29+C31</f>
        <v>0</v>
      </c>
      <c r="D33" s="74">
        <f t="shared" si="14"/>
        <v>675483240</v>
      </c>
      <c r="E33" s="73">
        <f t="shared" si="14"/>
        <v>764481240</v>
      </c>
      <c r="F33" s="73">
        <f t="shared" si="14"/>
        <v>283248847.50999999</v>
      </c>
      <c r="G33" s="73">
        <f t="shared" si="14"/>
        <v>604488398.52999997</v>
      </c>
      <c r="H33" s="73">
        <f t="shared" si="14"/>
        <v>382240620</v>
      </c>
      <c r="I33" s="73">
        <f t="shared" si="14"/>
        <v>222247778.53</v>
      </c>
      <c r="J33" s="304">
        <f t="shared" si="10"/>
        <v>0.58143422467763894</v>
      </c>
      <c r="K33" s="145">
        <f>K8+K17+K29+K31</f>
        <v>764481240</v>
      </c>
    </row>
    <row r="34" spans="1:11" ht="5.0999999999999996" customHeight="1" x14ac:dyDescent="0.25">
      <c r="A34" s="42"/>
      <c r="B34" s="169"/>
      <c r="C34" s="134"/>
      <c r="D34" s="46"/>
      <c r="E34" s="44"/>
      <c r="F34" s="44"/>
      <c r="G34" s="44"/>
      <c r="H34" s="44"/>
      <c r="I34" s="44"/>
      <c r="J34" s="124"/>
      <c r="K34" s="144"/>
    </row>
    <row r="35" spans="1:11" ht="12.75" customHeight="1" x14ac:dyDescent="0.25">
      <c r="A35" s="549" t="s">
        <v>63</v>
      </c>
      <c r="B35" s="169"/>
      <c r="C35" s="134"/>
      <c r="D35" s="46"/>
      <c r="E35" s="44"/>
      <c r="F35" s="44"/>
      <c r="G35" s="44"/>
      <c r="H35" s="44"/>
      <c r="I35" s="44"/>
      <c r="J35" s="124"/>
      <c r="K35" s="144"/>
    </row>
    <row r="36" spans="1:11" ht="18" customHeight="1" x14ac:dyDescent="0.25">
      <c r="A36" s="106" t="str">
        <f>A8</f>
        <v>National Government:</v>
      </c>
      <c r="B36" s="169"/>
      <c r="C36" s="134">
        <f t="shared" ref="C36:I36" si="15">SUM(C37:C44)</f>
        <v>0</v>
      </c>
      <c r="D36" s="46">
        <f t="shared" si="15"/>
        <v>255267424.99999985</v>
      </c>
      <c r="E36" s="44">
        <f t="shared" si="15"/>
        <v>255267424.99999985</v>
      </c>
      <c r="F36" s="44">
        <f t="shared" si="15"/>
        <v>24239547.32</v>
      </c>
      <c r="G36" s="44">
        <f t="shared" si="15"/>
        <v>149933495.42000002</v>
      </c>
      <c r="H36" s="44">
        <f t="shared" si="15"/>
        <v>127633712.49999993</v>
      </c>
      <c r="I36" s="44">
        <f t="shared" si="15"/>
        <v>22299782.920000076</v>
      </c>
      <c r="J36" s="343">
        <f>IF(I36=0,"",I36/H36)</f>
        <v>0.17471702799524921</v>
      </c>
      <c r="K36" s="144">
        <f>SUM(K37:K44)</f>
        <v>255267424.99999985</v>
      </c>
    </row>
    <row r="37" spans="1:11" ht="12.75" customHeight="1" x14ac:dyDescent="0.25">
      <c r="A37" s="778" t="s">
        <v>1441</v>
      </c>
      <c r="B37" s="169"/>
      <c r="C37" s="779"/>
      <c r="D37" s="780">
        <v>187012424.99999985</v>
      </c>
      <c r="E37" s="734">
        <v>187012424.99999985</v>
      </c>
      <c r="F37" s="734">
        <v>24239547.32</v>
      </c>
      <c r="G37" s="734">
        <v>109483495.42</v>
      </c>
      <c r="H37" s="733">
        <f>E37/12*6</f>
        <v>93506212.499999925</v>
      </c>
      <c r="I37" s="514">
        <f>G37-H37</f>
        <v>15977282.920000076</v>
      </c>
      <c r="J37" s="552">
        <f>IF(I37=0,"",I37/H37)</f>
        <v>0.17086867805708728</v>
      </c>
      <c r="K37" s="736">
        <f>E37</f>
        <v>187012424.99999985</v>
      </c>
    </row>
    <row r="38" spans="1:11" ht="12.75" customHeight="1" x14ac:dyDescent="0.25">
      <c r="A38" s="778" t="s">
        <v>1453</v>
      </c>
      <c r="B38" s="169"/>
      <c r="C38" s="748"/>
      <c r="D38" s="745"/>
      <c r="E38" s="733"/>
      <c r="F38" s="733"/>
      <c r="G38" s="733"/>
      <c r="H38" s="733"/>
      <c r="I38" s="514">
        <f t="shared" ref="I38:I44" si="16">G38-H38</f>
        <v>0</v>
      </c>
      <c r="J38" s="552" t="str">
        <f t="shared" ref="J38:J44" si="17">IF(I38=0,"",I38/H38)</f>
        <v/>
      </c>
      <c r="K38" s="735"/>
    </row>
    <row r="39" spans="1:11" ht="12.75" customHeight="1" x14ac:dyDescent="0.25">
      <c r="A39" s="778" t="s">
        <v>1001</v>
      </c>
      <c r="B39" s="169"/>
      <c r="C39" s="748"/>
      <c r="D39" s="745">
        <v>35000000</v>
      </c>
      <c r="E39" s="733">
        <v>35000000</v>
      </c>
      <c r="F39" s="733"/>
      <c r="G39" s="733">
        <v>10450000</v>
      </c>
      <c r="H39" s="733">
        <f>E39/12*6</f>
        <v>17500000</v>
      </c>
      <c r="I39" s="514">
        <f t="shared" si="16"/>
        <v>-7050000</v>
      </c>
      <c r="J39" s="552">
        <f t="shared" si="17"/>
        <v>-0.40285714285714286</v>
      </c>
      <c r="K39" s="735">
        <f>E39</f>
        <v>35000000</v>
      </c>
    </row>
    <row r="40" spans="1:11" ht="12.75" customHeight="1" x14ac:dyDescent="0.25">
      <c r="A40" s="778" t="s">
        <v>1454</v>
      </c>
      <c r="B40" s="169"/>
      <c r="C40" s="748"/>
      <c r="D40" s="745"/>
      <c r="E40" s="733"/>
      <c r="F40" s="733"/>
      <c r="G40" s="733"/>
      <c r="H40" s="733"/>
      <c r="I40" s="514">
        <f t="shared" si="16"/>
        <v>0</v>
      </c>
      <c r="J40" s="552" t="str">
        <f t="shared" si="17"/>
        <v/>
      </c>
      <c r="K40" s="735"/>
    </row>
    <row r="41" spans="1:11" ht="12.75" customHeight="1" x14ac:dyDescent="0.25">
      <c r="A41" s="778" t="s">
        <v>1455</v>
      </c>
      <c r="B41" s="169"/>
      <c r="C41" s="748"/>
      <c r="D41" s="745"/>
      <c r="E41" s="733"/>
      <c r="F41" s="733"/>
      <c r="G41" s="733"/>
      <c r="H41" s="733"/>
      <c r="I41" s="514">
        <f t="shared" si="16"/>
        <v>0</v>
      </c>
      <c r="J41" s="552" t="str">
        <f t="shared" si="17"/>
        <v/>
      </c>
      <c r="K41" s="735"/>
    </row>
    <row r="42" spans="1:11" ht="12.75" customHeight="1" x14ac:dyDescent="0.25">
      <c r="A42" s="778" t="s">
        <v>566</v>
      </c>
      <c r="B42" s="169"/>
      <c r="C42" s="748"/>
      <c r="D42" s="745"/>
      <c r="E42" s="733"/>
      <c r="F42" s="733"/>
      <c r="G42" s="733"/>
      <c r="H42" s="733"/>
      <c r="I42" s="514">
        <f t="shared" si="16"/>
        <v>0</v>
      </c>
      <c r="J42" s="552" t="str">
        <f t="shared" si="17"/>
        <v/>
      </c>
      <c r="K42" s="735"/>
    </row>
    <row r="43" spans="1:11" ht="12.75" customHeight="1" x14ac:dyDescent="0.25">
      <c r="A43" s="778" t="s">
        <v>1442</v>
      </c>
      <c r="B43" s="169"/>
      <c r="C43" s="748"/>
      <c r="D43" s="745">
        <v>33255000</v>
      </c>
      <c r="E43" s="733">
        <v>33255000</v>
      </c>
      <c r="F43" s="733"/>
      <c r="G43" s="733">
        <v>30000000</v>
      </c>
      <c r="H43" s="733">
        <f>E43/12*6</f>
        <v>16627500</v>
      </c>
      <c r="I43" s="514">
        <f t="shared" si="16"/>
        <v>13372500</v>
      </c>
      <c r="J43" s="552">
        <f t="shared" si="17"/>
        <v>0.8042399639152007</v>
      </c>
      <c r="K43" s="735">
        <f>E43</f>
        <v>33255000</v>
      </c>
    </row>
    <row r="44" spans="1:11" ht="12.75" customHeight="1" x14ac:dyDescent="0.25">
      <c r="A44" s="778" t="s">
        <v>1456</v>
      </c>
      <c r="B44" s="169"/>
      <c r="C44" s="748"/>
      <c r="D44" s="745"/>
      <c r="E44" s="733"/>
      <c r="F44" s="733"/>
      <c r="G44" s="733"/>
      <c r="H44" s="733"/>
      <c r="I44" s="514">
        <f t="shared" si="16"/>
        <v>0</v>
      </c>
      <c r="J44" s="552" t="str">
        <f t="shared" si="17"/>
        <v/>
      </c>
      <c r="K44" s="735"/>
    </row>
    <row r="45" spans="1:11" ht="12.75" customHeight="1" x14ac:dyDescent="0.25">
      <c r="A45" s="342" t="str">
        <f>A17</f>
        <v>Provincial Government:</v>
      </c>
      <c r="B45" s="169"/>
      <c r="C45" s="516">
        <f t="shared" ref="C45:H45" si="18">SUM(C46:C56)</f>
        <v>0</v>
      </c>
      <c r="D45" s="475">
        <f t="shared" si="18"/>
        <v>270624156</v>
      </c>
      <c r="E45" s="430">
        <f t="shared" si="18"/>
        <v>270624156</v>
      </c>
      <c r="F45" s="430">
        <f t="shared" si="18"/>
        <v>0</v>
      </c>
      <c r="G45" s="430">
        <f t="shared" si="18"/>
        <v>3754275.25</v>
      </c>
      <c r="H45" s="430">
        <f t="shared" si="18"/>
        <v>135312078</v>
      </c>
      <c r="I45" s="514">
        <f t="shared" ref="I45:I60" si="19">G45-H45</f>
        <v>-131557802.75</v>
      </c>
      <c r="J45" s="552">
        <f>IF(I45=0,"",I45/H45)</f>
        <v>-0.97225469222340966</v>
      </c>
      <c r="K45" s="513">
        <f>SUM(K46:K56)</f>
        <v>270624156</v>
      </c>
    </row>
    <row r="46" spans="1:11" ht="12.75" customHeight="1" x14ac:dyDescent="0.25">
      <c r="A46" s="781" t="s">
        <v>1457</v>
      </c>
      <c r="B46" s="169"/>
      <c r="C46" s="783"/>
      <c r="D46" s="784"/>
      <c r="E46" s="737"/>
      <c r="F46" s="733"/>
      <c r="G46" s="733">
        <v>2500000</v>
      </c>
      <c r="H46" s="737"/>
      <c r="I46" s="514">
        <f t="shared" si="19"/>
        <v>2500000</v>
      </c>
      <c r="J46" s="552" t="e">
        <f t="shared" ref="J46:J55" si="20">IF(I46=0,"",I46/H46)</f>
        <v>#DIV/0!</v>
      </c>
      <c r="K46" s="738"/>
    </row>
    <row r="47" spans="1:11" ht="12.75" customHeight="1" x14ac:dyDescent="0.25">
      <c r="A47" s="785" t="s">
        <v>771</v>
      </c>
      <c r="B47" s="169"/>
      <c r="C47" s="786"/>
      <c r="D47" s="787"/>
      <c r="E47" s="788"/>
      <c r="F47" s="733"/>
      <c r="G47" s="733"/>
      <c r="H47" s="788"/>
      <c r="I47" s="44">
        <f t="shared" si="19"/>
        <v>0</v>
      </c>
      <c r="J47" s="124" t="str">
        <f t="shared" si="20"/>
        <v/>
      </c>
      <c r="K47" s="789"/>
    </row>
    <row r="48" spans="1:11" ht="12.75" customHeight="1" x14ac:dyDescent="0.25">
      <c r="A48" s="785" t="s">
        <v>1458</v>
      </c>
      <c r="B48" s="169"/>
      <c r="C48" s="786"/>
      <c r="D48" s="787"/>
      <c r="E48" s="788"/>
      <c r="F48" s="733"/>
      <c r="G48" s="733"/>
      <c r="H48" s="788"/>
      <c r="I48" s="44">
        <f t="shared" si="19"/>
        <v>0</v>
      </c>
      <c r="J48" s="124" t="str">
        <f t="shared" si="20"/>
        <v/>
      </c>
      <c r="K48" s="789"/>
    </row>
    <row r="49" spans="1:11" ht="12.75" customHeight="1" x14ac:dyDescent="0.25">
      <c r="A49" s="785" t="s">
        <v>1444</v>
      </c>
      <c r="B49" s="169"/>
      <c r="C49" s="786"/>
      <c r="D49" s="733">
        <v>6124156</v>
      </c>
      <c r="E49" s="733">
        <v>6124156</v>
      </c>
      <c r="F49" s="733"/>
      <c r="G49" s="733"/>
      <c r="H49" s="733">
        <f t="shared" ref="H49:H51" si="21">E49/12*6</f>
        <v>3062078</v>
      </c>
      <c r="I49" s="44">
        <f t="shared" si="19"/>
        <v>-3062078</v>
      </c>
      <c r="J49" s="124">
        <f t="shared" si="20"/>
        <v>-1</v>
      </c>
      <c r="K49" s="733">
        <f t="shared" ref="K49:K51" si="22">E49</f>
        <v>6124156</v>
      </c>
    </row>
    <row r="50" spans="1:11" ht="12.75" customHeight="1" x14ac:dyDescent="0.25">
      <c r="A50" s="785" t="s">
        <v>1459</v>
      </c>
      <c r="B50" s="169"/>
      <c r="C50" s="786"/>
      <c r="D50" s="733">
        <v>2500000</v>
      </c>
      <c r="E50" s="733">
        <v>2500000</v>
      </c>
      <c r="F50" s="733"/>
      <c r="G50" s="733"/>
      <c r="H50" s="733">
        <f t="shared" si="21"/>
        <v>1250000</v>
      </c>
      <c r="I50" s="44">
        <f t="shared" si="19"/>
        <v>-1250000</v>
      </c>
      <c r="J50" s="124">
        <f t="shared" si="20"/>
        <v>-1</v>
      </c>
      <c r="K50" s="733">
        <f t="shared" si="22"/>
        <v>2500000</v>
      </c>
    </row>
    <row r="51" spans="1:11" ht="12.75" customHeight="1" x14ac:dyDescent="0.25">
      <c r="A51" s="785" t="s">
        <v>1439</v>
      </c>
      <c r="B51" s="169"/>
      <c r="C51" s="786"/>
      <c r="D51" s="733">
        <v>774000</v>
      </c>
      <c r="E51" s="733">
        <v>774000</v>
      </c>
      <c r="F51" s="733"/>
      <c r="G51" s="733"/>
      <c r="H51" s="733">
        <f t="shared" si="21"/>
        <v>387000</v>
      </c>
      <c r="I51" s="44">
        <f t="shared" si="19"/>
        <v>-387000</v>
      </c>
      <c r="J51" s="124">
        <f t="shared" si="20"/>
        <v>-1</v>
      </c>
      <c r="K51" s="733">
        <f t="shared" si="22"/>
        <v>774000</v>
      </c>
    </row>
    <row r="52" spans="1:11" ht="12.75" customHeight="1" x14ac:dyDescent="0.25">
      <c r="A52" s="785" t="s">
        <v>1440</v>
      </c>
      <c r="B52" s="169"/>
      <c r="C52" s="786"/>
      <c r="D52" s="733"/>
      <c r="E52" s="733"/>
      <c r="F52" s="733"/>
      <c r="G52" s="733"/>
      <c r="H52" s="788"/>
      <c r="I52" s="44">
        <f t="shared" si="19"/>
        <v>0</v>
      </c>
      <c r="J52" s="124" t="str">
        <f t="shared" si="20"/>
        <v/>
      </c>
      <c r="K52" s="733"/>
    </row>
    <row r="53" spans="1:11" ht="12.75" customHeight="1" x14ac:dyDescent="0.25">
      <c r="A53" s="785" t="s">
        <v>1443</v>
      </c>
      <c r="B53" s="169"/>
      <c r="C53" s="786"/>
      <c r="D53" s="733">
        <v>244264000</v>
      </c>
      <c r="E53" s="733">
        <v>244264000</v>
      </c>
      <c r="F53" s="733"/>
      <c r="G53" s="733"/>
      <c r="H53" s="733">
        <f t="shared" ref="H53:H54" si="23">E53/12*6</f>
        <v>122132000</v>
      </c>
      <c r="I53" s="44">
        <f t="shared" si="19"/>
        <v>-122132000</v>
      </c>
      <c r="J53" s="124">
        <f t="shared" si="20"/>
        <v>-1</v>
      </c>
      <c r="K53" s="733">
        <f t="shared" ref="K53:K54" si="24">E53</f>
        <v>244264000</v>
      </c>
    </row>
    <row r="54" spans="1:11" ht="12.75" customHeight="1" x14ac:dyDescent="0.25">
      <c r="A54" s="785" t="s">
        <v>1445</v>
      </c>
      <c r="B54" s="169"/>
      <c r="C54" s="786"/>
      <c r="D54" s="733">
        <v>6750000</v>
      </c>
      <c r="E54" s="733">
        <v>6750000</v>
      </c>
      <c r="F54" s="733"/>
      <c r="G54" s="733">
        <v>766275.25</v>
      </c>
      <c r="H54" s="733">
        <f t="shared" si="23"/>
        <v>3375000</v>
      </c>
      <c r="I54" s="44">
        <f t="shared" si="19"/>
        <v>-2608724.75</v>
      </c>
      <c r="J54" s="124">
        <f t="shared" si="20"/>
        <v>-0.77295548148148152</v>
      </c>
      <c r="K54" s="733">
        <f t="shared" si="24"/>
        <v>6750000</v>
      </c>
    </row>
    <row r="55" spans="1:11" ht="12.75" customHeight="1" x14ac:dyDescent="0.25">
      <c r="A55" s="785" t="s">
        <v>623</v>
      </c>
      <c r="B55" s="169"/>
      <c r="C55" s="786"/>
      <c r="D55" s="733"/>
      <c r="E55" s="788"/>
      <c r="F55" s="733"/>
      <c r="G55" s="733"/>
      <c r="H55" s="788"/>
      <c r="I55" s="44">
        <f t="shared" si="19"/>
        <v>0</v>
      </c>
      <c r="J55" s="124" t="str">
        <f t="shared" si="20"/>
        <v/>
      </c>
      <c r="K55" s="733"/>
    </row>
    <row r="56" spans="1:11" ht="12.75" customHeight="1" x14ac:dyDescent="0.25">
      <c r="A56" s="782" t="s">
        <v>1446</v>
      </c>
      <c r="B56" s="169"/>
      <c r="C56" s="748"/>
      <c r="D56" s="745">
        <v>10212000</v>
      </c>
      <c r="E56" s="733">
        <v>10212000</v>
      </c>
      <c r="F56" s="733"/>
      <c r="G56" s="733">
        <v>488000</v>
      </c>
      <c r="H56" s="733">
        <f>E56/12*6</f>
        <v>5106000</v>
      </c>
      <c r="I56" s="44">
        <f t="shared" si="19"/>
        <v>-4618000</v>
      </c>
      <c r="J56" s="124">
        <f t="shared" ref="J56:J61" si="25">IF(I56=0,"",I56/H56)</f>
        <v>-0.9044261652957305</v>
      </c>
      <c r="K56" s="733">
        <f>E56</f>
        <v>10212000</v>
      </c>
    </row>
    <row r="57" spans="1:11" ht="12.75" customHeight="1" x14ac:dyDescent="0.25">
      <c r="A57" s="106" t="str">
        <f>A29</f>
        <v>District Municipality:</v>
      </c>
      <c r="B57" s="169"/>
      <c r="C57" s="516">
        <f t="shared" ref="C57:H57" si="26">SUM(C58:C58)</f>
        <v>0</v>
      </c>
      <c r="D57" s="475">
        <f t="shared" si="26"/>
        <v>0</v>
      </c>
      <c r="E57" s="430">
        <f t="shared" si="26"/>
        <v>0</v>
      </c>
      <c r="F57" s="430">
        <f t="shared" si="26"/>
        <v>0</v>
      </c>
      <c r="G57" s="430">
        <f t="shared" si="26"/>
        <v>0</v>
      </c>
      <c r="H57" s="430">
        <f t="shared" si="26"/>
        <v>0</v>
      </c>
      <c r="I57" s="514">
        <f t="shared" si="19"/>
        <v>0</v>
      </c>
      <c r="J57" s="552" t="str">
        <f t="shared" si="25"/>
        <v/>
      </c>
      <c r="K57" s="513">
        <f>SUM(K58:K58)</f>
        <v>0</v>
      </c>
    </row>
    <row r="58" spans="1:11" ht="12.75" customHeight="1" x14ac:dyDescent="0.25">
      <c r="A58" s="781" t="s">
        <v>567</v>
      </c>
      <c r="B58" s="169"/>
      <c r="C58" s="783"/>
      <c r="D58" s="784"/>
      <c r="E58" s="737"/>
      <c r="F58" s="737"/>
      <c r="G58" s="737"/>
      <c r="H58" s="737"/>
      <c r="I58" s="514">
        <f t="shared" si="19"/>
        <v>0</v>
      </c>
      <c r="J58" s="552" t="str">
        <f t="shared" si="25"/>
        <v/>
      </c>
      <c r="K58" s="738"/>
    </row>
    <row r="59" spans="1:11" ht="12.75" customHeight="1" x14ac:dyDescent="0.25">
      <c r="A59" s="106" t="str">
        <f>A31</f>
        <v>Other grant providers:</v>
      </c>
      <c r="B59" s="169"/>
      <c r="C59" s="516">
        <f t="shared" ref="C59:H59" si="27">SUM(C60:C60)</f>
        <v>0</v>
      </c>
      <c r="D59" s="475">
        <f t="shared" si="27"/>
        <v>0</v>
      </c>
      <c r="E59" s="430">
        <f t="shared" si="27"/>
        <v>0</v>
      </c>
      <c r="F59" s="430">
        <f t="shared" si="27"/>
        <v>0</v>
      </c>
      <c r="G59" s="430">
        <f t="shared" si="27"/>
        <v>0</v>
      </c>
      <c r="H59" s="430">
        <f t="shared" si="27"/>
        <v>0</v>
      </c>
      <c r="I59" s="514">
        <f t="shared" si="19"/>
        <v>0</v>
      </c>
      <c r="J59" s="552" t="str">
        <f t="shared" si="25"/>
        <v/>
      </c>
      <c r="K59" s="513">
        <f>SUM(K60:K60)</f>
        <v>0</v>
      </c>
    </row>
    <row r="60" spans="1:11" ht="12.75" customHeight="1" x14ac:dyDescent="0.25">
      <c r="A60" s="781" t="s">
        <v>567</v>
      </c>
      <c r="B60" s="169"/>
      <c r="C60" s="783"/>
      <c r="D60" s="784"/>
      <c r="E60" s="737"/>
      <c r="F60" s="737"/>
      <c r="G60" s="737"/>
      <c r="H60" s="737"/>
      <c r="I60" s="514">
        <f t="shared" si="19"/>
        <v>0</v>
      </c>
      <c r="J60" s="552" t="str">
        <f t="shared" si="25"/>
        <v/>
      </c>
      <c r="K60" s="738"/>
    </row>
    <row r="61" spans="1:11" ht="12.75" customHeight="1" x14ac:dyDescent="0.25">
      <c r="A61" s="557" t="s">
        <v>64</v>
      </c>
      <c r="B61" s="309">
        <v>5</v>
      </c>
      <c r="C61" s="516">
        <f t="shared" ref="C61:I61" si="28">C36+C45+C57+C59</f>
        <v>0</v>
      </c>
      <c r="D61" s="475">
        <f t="shared" si="28"/>
        <v>525891580.99999988</v>
      </c>
      <c r="E61" s="430">
        <f t="shared" si="28"/>
        <v>525891580.99999988</v>
      </c>
      <c r="F61" s="430">
        <f t="shared" si="28"/>
        <v>24239547.32</v>
      </c>
      <c r="G61" s="430">
        <f t="shared" si="28"/>
        <v>153687770.67000002</v>
      </c>
      <c r="H61" s="430">
        <f t="shared" si="28"/>
        <v>262945790.49999994</v>
      </c>
      <c r="I61" s="430">
        <f t="shared" si="28"/>
        <v>-109258019.82999992</v>
      </c>
      <c r="J61" s="553">
        <f t="shared" si="25"/>
        <v>-0.41551537912906783</v>
      </c>
      <c r="K61" s="513">
        <f>K36+K45+K57+K59</f>
        <v>525891580.99999988</v>
      </c>
    </row>
    <row r="62" spans="1:11" ht="5.0999999999999996" customHeight="1" x14ac:dyDescent="0.25">
      <c r="A62" s="554"/>
      <c r="B62" s="248"/>
      <c r="C62" s="249"/>
      <c r="D62" s="555"/>
      <c r="E62" s="99"/>
      <c r="F62" s="99"/>
      <c r="G62" s="99"/>
      <c r="H62" s="99"/>
      <c r="I62" s="99"/>
      <c r="J62" s="324"/>
      <c r="K62" s="195"/>
    </row>
    <row r="63" spans="1:11" ht="12.75" customHeight="1" x14ac:dyDescent="0.25">
      <c r="A63" s="556" t="s">
        <v>65</v>
      </c>
      <c r="B63" s="236">
        <v>5</v>
      </c>
      <c r="C63" s="160">
        <f t="shared" ref="C63:I63" si="29">C33+C61</f>
        <v>0</v>
      </c>
      <c r="D63" s="305">
        <f t="shared" si="29"/>
        <v>1201374821</v>
      </c>
      <c r="E63" s="306">
        <f t="shared" si="29"/>
        <v>1290372821</v>
      </c>
      <c r="F63" s="306">
        <f t="shared" si="29"/>
        <v>307488394.82999998</v>
      </c>
      <c r="G63" s="306">
        <f t="shared" si="29"/>
        <v>758176169.20000005</v>
      </c>
      <c r="H63" s="306">
        <f t="shared" si="29"/>
        <v>645186410.5</v>
      </c>
      <c r="I63" s="306">
        <f t="shared" si="29"/>
        <v>112989758.70000008</v>
      </c>
      <c r="J63" s="307">
        <f>IF(I63=0,"",I63/H63)</f>
        <v>0.17512730718000774</v>
      </c>
      <c r="K63" s="308">
        <f>K33+K61</f>
        <v>1290372821</v>
      </c>
    </row>
    <row r="64" spans="1:11" ht="12.75" customHeight="1" x14ac:dyDescent="0.25">
      <c r="A64" s="57" t="str">
        <f>head27a</f>
        <v>References</v>
      </c>
      <c r="B64" s="58"/>
      <c r="C64" s="62"/>
      <c r="D64" s="62"/>
      <c r="E64" s="62"/>
      <c r="F64" s="62"/>
      <c r="G64" s="62"/>
      <c r="H64" s="62"/>
      <c r="I64" s="62"/>
      <c r="J64" s="62"/>
      <c r="K64" s="62"/>
    </row>
    <row r="65" spans="1:11" ht="12.75" customHeight="1" x14ac:dyDescent="0.25">
      <c r="A65" s="80" t="s">
        <v>971</v>
      </c>
      <c r="B65" s="58"/>
      <c r="C65" s="62"/>
      <c r="D65" s="62"/>
      <c r="E65" s="62"/>
      <c r="F65" s="62"/>
      <c r="G65" s="62"/>
      <c r="H65" s="62"/>
      <c r="I65" s="62"/>
      <c r="J65" s="62"/>
      <c r="K65" s="62"/>
    </row>
    <row r="66" spans="1:11" ht="12.75" customHeight="1" x14ac:dyDescent="0.25">
      <c r="A66" s="80" t="s">
        <v>923</v>
      </c>
      <c r="B66" s="58"/>
      <c r="C66" s="62"/>
      <c r="D66" s="62"/>
      <c r="E66" s="62"/>
      <c r="F66" s="62"/>
      <c r="G66" s="62"/>
      <c r="H66" s="62"/>
      <c r="I66" s="62"/>
      <c r="J66" s="62"/>
      <c r="K66" s="62"/>
    </row>
    <row r="67" spans="1:11" ht="12.75" customHeight="1" x14ac:dyDescent="0.25">
      <c r="A67" s="80" t="s">
        <v>817</v>
      </c>
      <c r="B67" s="58"/>
      <c r="C67" s="62"/>
      <c r="D67" s="62"/>
      <c r="E67" s="62"/>
      <c r="F67" s="62"/>
      <c r="G67" s="62"/>
      <c r="H67" s="62"/>
      <c r="I67" s="62"/>
      <c r="J67" s="62"/>
      <c r="K67" s="62"/>
    </row>
    <row r="68" spans="1:11" ht="12.75" customHeight="1" x14ac:dyDescent="0.25">
      <c r="A68" s="60" t="s">
        <v>518</v>
      </c>
      <c r="B68" s="58"/>
      <c r="C68" s="62"/>
      <c r="D68" s="62"/>
      <c r="E68" s="62"/>
      <c r="F68" s="62"/>
      <c r="G68" s="62"/>
      <c r="H68" s="62"/>
      <c r="I68" s="62"/>
      <c r="J68" s="62"/>
      <c r="K68" s="62"/>
    </row>
    <row r="69" spans="1:11" ht="12.75" customHeight="1" x14ac:dyDescent="0.25">
      <c r="A69" s="22" t="s">
        <v>602</v>
      </c>
      <c r="B69" s="64"/>
      <c r="C69" s="84"/>
      <c r="D69" s="93"/>
      <c r="E69" s="84"/>
      <c r="F69" s="84"/>
      <c r="G69" s="84"/>
      <c r="H69" s="84"/>
      <c r="I69" s="84"/>
      <c r="J69" s="84"/>
      <c r="K69" s="84"/>
    </row>
    <row r="70" spans="1:11" ht="11.25" customHeight="1" x14ac:dyDescent="0.25">
      <c r="A70" s="183"/>
    </row>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sheetData>
  <sheetProtection sheet="1" objects="1" scenarios="1"/>
  <mergeCells count="3">
    <mergeCell ref="A2:A3"/>
    <mergeCell ref="B2:B3"/>
    <mergeCell ref="A1:K1"/>
  </mergeCells>
  <phoneticPr fontId="2" type="noConversion"/>
  <dataValidations count="2">
    <dataValidation type="list" allowBlank="1" showInputMessage="1" showErrorMessage="1" sqref="A37:A43">
      <formula1>NatCapexGrantNames</formula1>
    </dataValidation>
    <dataValidation type="list" allowBlank="1" showInputMessage="1" showErrorMessage="1" sqref="A9:A16">
      <formula1>NatOpexGrantNames</formula1>
    </dataValidation>
  </dataValidations>
  <printOptions horizontalCentered="1"/>
  <pageMargins left="0.36" right="0.17" top="0.78" bottom="0.59" header="0.51181102362204722" footer="0.41"/>
  <pageSetup paperSize="9" scale="8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indexed="42"/>
    <pageSetUpPr fitToPage="1"/>
  </sheetPr>
  <dimension ref="A1:K95"/>
  <sheetViews>
    <sheetView showGridLines="0" showZeros="0" zoomScaleNormal="100" workbookViewId="0">
      <pane xSplit="1" ySplit="4" topLeftCell="B52" activePane="bottomRight" state="frozen"/>
      <selection pane="topRight"/>
      <selection pane="bottomLeft"/>
      <selection pane="bottomRight" activeCell="F37" sqref="F37:G37"/>
    </sheetView>
  </sheetViews>
  <sheetFormatPr defaultColWidth="9.140625"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3" t="str">
        <f>muni&amp; " - "&amp;S71M&amp; " - "&amp;Head57</f>
        <v>KZN225 Msunduzi - Supporting Table SC7(1) Monthly Budget Statement - transfers and grant expenditure  - Mid-Year Assessment</v>
      </c>
      <c r="B1" s="1053"/>
      <c r="C1" s="1053"/>
      <c r="D1" s="1053"/>
      <c r="E1" s="1053"/>
      <c r="F1" s="1053"/>
      <c r="G1" s="1053"/>
      <c r="H1" s="1053"/>
      <c r="I1" s="1053"/>
      <c r="J1" s="1053"/>
      <c r="K1" s="1053"/>
    </row>
    <row r="2" spans="1:11" x14ac:dyDescent="0.25">
      <c r="A2" s="1042" t="str">
        <f>desc</f>
        <v>Description</v>
      </c>
      <c r="B2" s="1035" t="str">
        <f>head27</f>
        <v>Ref</v>
      </c>
      <c r="C2" s="139" t="str">
        <f>Head1</f>
        <v>2019/20</v>
      </c>
      <c r="D2" s="245" t="str">
        <f>Head2</f>
        <v>Budget Year 2020/21</v>
      </c>
      <c r="E2" s="229"/>
      <c r="F2" s="229"/>
      <c r="G2" s="229"/>
      <c r="H2" s="229"/>
      <c r="I2" s="229"/>
      <c r="J2" s="229"/>
      <c r="K2" s="230"/>
    </row>
    <row r="3" spans="1:11" ht="25.5" x14ac:dyDescent="0.25">
      <c r="A3" s="1043"/>
      <c r="B3" s="1046"/>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8"/>
      <c r="E4" s="294"/>
      <c r="F4" s="295"/>
      <c r="G4" s="295"/>
      <c r="H4" s="295"/>
      <c r="I4" s="295"/>
      <c r="J4" s="296" t="s">
        <v>575</v>
      </c>
      <c r="K4" s="297"/>
    </row>
    <row r="5" spans="1:11" ht="12.75" customHeight="1" x14ac:dyDescent="0.25">
      <c r="A5" s="136" t="s">
        <v>536</v>
      </c>
      <c r="B5" s="309"/>
      <c r="C5" s="134"/>
      <c r="D5" s="46"/>
      <c r="E5" s="44"/>
      <c r="F5" s="44"/>
      <c r="G5" s="44"/>
      <c r="H5" s="44"/>
      <c r="I5" s="44"/>
      <c r="J5" s="124"/>
      <c r="K5" s="144"/>
    </row>
    <row r="6" spans="1:11" ht="5.0999999999999996" customHeight="1" x14ac:dyDescent="0.25">
      <c r="A6" s="35"/>
      <c r="B6" s="169"/>
      <c r="C6" s="134"/>
      <c r="D6" s="46"/>
      <c r="E6" s="44"/>
      <c r="F6" s="44"/>
      <c r="G6" s="44"/>
      <c r="H6" s="44"/>
      <c r="I6" s="44"/>
      <c r="J6" s="124"/>
      <c r="K6" s="144"/>
    </row>
    <row r="7" spans="1:11" ht="12.75" customHeight="1" x14ac:dyDescent="0.25">
      <c r="A7" s="549" t="s">
        <v>57</v>
      </c>
      <c r="B7" s="169"/>
      <c r="C7" s="134"/>
      <c r="D7" s="46"/>
      <c r="E7" s="44"/>
      <c r="F7" s="44"/>
      <c r="G7" s="44"/>
      <c r="H7" s="44"/>
      <c r="I7" s="44"/>
      <c r="J7" s="124"/>
      <c r="K7" s="144"/>
    </row>
    <row r="8" spans="1:11" ht="14.25" customHeight="1" x14ac:dyDescent="0.25">
      <c r="A8" s="106" t="str">
        <f>'SC6'!A8</f>
        <v>National Government:</v>
      </c>
      <c r="B8" s="169"/>
      <c r="C8" s="109">
        <f t="shared" ref="C8:I8" si="0">SUM(C9:C16)</f>
        <v>0</v>
      </c>
      <c r="D8" s="51">
        <f t="shared" si="0"/>
        <v>608608575</v>
      </c>
      <c r="E8" s="50">
        <f t="shared" si="0"/>
        <v>697606575</v>
      </c>
      <c r="F8" s="50">
        <f t="shared" si="0"/>
        <v>27169020.180000003</v>
      </c>
      <c r="G8" s="50">
        <f t="shared" si="0"/>
        <v>87074412.210000008</v>
      </c>
      <c r="H8" s="50">
        <f t="shared" si="0"/>
        <v>348803287.5</v>
      </c>
      <c r="I8" s="50">
        <f t="shared" si="0"/>
        <v>-261728875.28999996</v>
      </c>
      <c r="J8" s="343">
        <f t="shared" ref="J8:J33" si="1">IF(I8=0,"",I8/H8)</f>
        <v>-0.75036240961461687</v>
      </c>
      <c r="K8" s="194">
        <f>SUM(K9:K16)</f>
        <v>697606575</v>
      </c>
    </row>
    <row r="9" spans="1:11" x14ac:dyDescent="0.25">
      <c r="A9" s="396" t="s">
        <v>986</v>
      </c>
      <c r="B9" s="169"/>
      <c r="C9" s="779"/>
      <c r="D9" s="780">
        <v>593405000</v>
      </c>
      <c r="E9" s="734">
        <v>682403000</v>
      </c>
      <c r="F9" s="734"/>
      <c r="G9" s="734"/>
      <c r="H9" s="733">
        <f>E9/12*6</f>
        <v>341201500</v>
      </c>
      <c r="I9" s="514">
        <f>G9-H9</f>
        <v>-341201500</v>
      </c>
      <c r="J9" s="552">
        <f t="shared" si="1"/>
        <v>-1</v>
      </c>
      <c r="K9" s="736">
        <f>E9</f>
        <v>682403000</v>
      </c>
    </row>
    <row r="10" spans="1:11" x14ac:dyDescent="0.25">
      <c r="A10" s="396" t="s">
        <v>988</v>
      </c>
      <c r="B10" s="169"/>
      <c r="C10" s="748"/>
      <c r="D10" s="745">
        <v>1700000</v>
      </c>
      <c r="E10" s="733">
        <v>1700000</v>
      </c>
      <c r="F10" s="733">
        <v>92691.16</v>
      </c>
      <c r="G10" s="733">
        <v>520994.12</v>
      </c>
      <c r="H10" s="733">
        <f>E10/12*6</f>
        <v>850000</v>
      </c>
      <c r="I10" s="514">
        <f t="shared" ref="I10:I16" si="2">G10-H10</f>
        <v>-329005.88</v>
      </c>
      <c r="J10" s="552">
        <f t="shared" ref="J10:J16" si="3">IF(I10=0,"",I10/H10)</f>
        <v>-0.38706574117647058</v>
      </c>
      <c r="K10" s="736">
        <f>E10</f>
        <v>1700000</v>
      </c>
    </row>
    <row r="11" spans="1:11" x14ac:dyDescent="0.25">
      <c r="A11" s="396" t="s">
        <v>566</v>
      </c>
      <c r="B11" s="169"/>
      <c r="C11" s="748"/>
      <c r="D11" s="745"/>
      <c r="E11" s="733"/>
      <c r="F11" s="733"/>
      <c r="G11" s="733"/>
      <c r="H11" s="733"/>
      <c r="I11" s="514">
        <f t="shared" si="2"/>
        <v>0</v>
      </c>
      <c r="J11" s="552" t="str">
        <f t="shared" si="3"/>
        <v/>
      </c>
      <c r="K11" s="736"/>
    </row>
    <row r="12" spans="1:11" x14ac:dyDescent="0.25">
      <c r="A12" s="396" t="s">
        <v>995</v>
      </c>
      <c r="B12" s="169"/>
      <c r="C12" s="748"/>
      <c r="D12" s="745">
        <v>4388000</v>
      </c>
      <c r="E12" s="733">
        <v>4388000</v>
      </c>
      <c r="F12" s="733">
        <v>1128885.6000000001</v>
      </c>
      <c r="G12" s="733">
        <v>1128885.6000000001</v>
      </c>
      <c r="H12" s="733">
        <f>E12/12*6</f>
        <v>2194000</v>
      </c>
      <c r="I12" s="514">
        <f t="shared" si="2"/>
        <v>-1065114.3999999999</v>
      </c>
      <c r="J12" s="552">
        <f t="shared" si="3"/>
        <v>-0.48546690975387419</v>
      </c>
      <c r="K12" s="736">
        <f>E12</f>
        <v>4388000</v>
      </c>
    </row>
    <row r="13" spans="1:11" ht="12.75" customHeight="1" x14ac:dyDescent="0.25">
      <c r="A13" s="396" t="s">
        <v>989</v>
      </c>
      <c r="B13" s="169"/>
      <c r="C13" s="748"/>
      <c r="D13" s="745"/>
      <c r="E13" s="733"/>
      <c r="F13" s="733"/>
      <c r="G13" s="733"/>
      <c r="H13" s="733"/>
      <c r="I13" s="514">
        <f t="shared" si="2"/>
        <v>0</v>
      </c>
      <c r="J13" s="552" t="str">
        <f t="shared" si="3"/>
        <v/>
      </c>
      <c r="K13" s="736"/>
    </row>
    <row r="14" spans="1:11" ht="12.75" customHeight="1" x14ac:dyDescent="0.25">
      <c r="A14" s="396" t="s">
        <v>1450</v>
      </c>
      <c r="B14" s="169"/>
      <c r="C14" s="748"/>
      <c r="D14" s="745"/>
      <c r="E14" s="733"/>
      <c r="F14" s="733">
        <v>25569908.670000002</v>
      </c>
      <c r="G14" s="733">
        <v>80547033.120000005</v>
      </c>
      <c r="H14" s="733"/>
      <c r="I14" s="514">
        <f t="shared" si="2"/>
        <v>80547033.120000005</v>
      </c>
      <c r="J14" s="552" t="e">
        <f t="shared" si="3"/>
        <v>#DIV/0!</v>
      </c>
      <c r="K14" s="736"/>
    </row>
    <row r="15" spans="1:11" ht="12.75" customHeight="1" x14ac:dyDescent="0.25">
      <c r="A15" s="396" t="s">
        <v>990</v>
      </c>
      <c r="B15" s="169"/>
      <c r="C15" s="748"/>
      <c r="D15" s="745"/>
      <c r="E15" s="733"/>
      <c r="F15" s="733"/>
      <c r="G15" s="733"/>
      <c r="H15" s="733"/>
      <c r="I15" s="514">
        <f t="shared" si="2"/>
        <v>0</v>
      </c>
      <c r="J15" s="552" t="str">
        <f t="shared" si="3"/>
        <v/>
      </c>
      <c r="K15" s="736"/>
    </row>
    <row r="16" spans="1:11" ht="12.75" customHeight="1" x14ac:dyDescent="0.25">
      <c r="A16" s="396" t="s">
        <v>1433</v>
      </c>
      <c r="B16" s="169"/>
      <c r="C16" s="748"/>
      <c r="D16" s="745">
        <v>9115575</v>
      </c>
      <c r="E16" s="733">
        <v>9115575</v>
      </c>
      <c r="F16" s="733">
        <v>377534.75</v>
      </c>
      <c r="G16" s="733">
        <v>4877499.37</v>
      </c>
      <c r="H16" s="733">
        <f>E16/12*6</f>
        <v>4557787.5</v>
      </c>
      <c r="I16" s="514">
        <f t="shared" si="2"/>
        <v>319711.87000000011</v>
      </c>
      <c r="J16" s="552">
        <f t="shared" si="3"/>
        <v>7.0146286986833006E-2</v>
      </c>
      <c r="K16" s="736">
        <f>E16</f>
        <v>9115575</v>
      </c>
    </row>
    <row r="17" spans="1:11" ht="12.75" customHeight="1" x14ac:dyDescent="0.25">
      <c r="A17" s="397" t="str">
        <f>'SC6'!A17</f>
        <v>Provincial Government:</v>
      </c>
      <c r="B17" s="169"/>
      <c r="C17" s="516">
        <f t="shared" ref="C17:I17" si="4">SUM(C18:C28)</f>
        <v>0</v>
      </c>
      <c r="D17" s="475">
        <f t="shared" si="4"/>
        <v>66874665</v>
      </c>
      <c r="E17" s="430">
        <f t="shared" si="4"/>
        <v>66874665</v>
      </c>
      <c r="F17" s="430">
        <f t="shared" si="4"/>
        <v>4514283.17</v>
      </c>
      <c r="G17" s="430">
        <f t="shared" si="4"/>
        <v>39063907.329999998</v>
      </c>
      <c r="H17" s="430">
        <f t="shared" si="4"/>
        <v>33437332.5</v>
      </c>
      <c r="I17" s="430">
        <f t="shared" si="4"/>
        <v>5626574.8300000001</v>
      </c>
      <c r="J17" s="553">
        <f t="shared" si="1"/>
        <v>0.16827223971888308</v>
      </c>
      <c r="K17" s="513">
        <f>SUM(K18:K28)</f>
        <v>66874665</v>
      </c>
    </row>
    <row r="18" spans="1:11" ht="12.75" customHeight="1" x14ac:dyDescent="0.25">
      <c r="A18" s="396" t="s">
        <v>623</v>
      </c>
      <c r="B18" s="169"/>
      <c r="C18" s="779"/>
      <c r="D18" s="780"/>
      <c r="E18" s="734"/>
      <c r="F18" s="734"/>
      <c r="G18" s="734"/>
      <c r="H18" s="734"/>
      <c r="I18" s="514">
        <f t="shared" ref="I18:I28" si="5">G18-H18</f>
        <v>0</v>
      </c>
      <c r="J18" s="552" t="str">
        <f t="shared" si="1"/>
        <v/>
      </c>
      <c r="K18" s="736"/>
    </row>
    <row r="19" spans="1:11" ht="12.75" customHeight="1" x14ac:dyDescent="0.25">
      <c r="A19" s="396" t="s">
        <v>1452</v>
      </c>
      <c r="B19" s="169"/>
      <c r="C19" s="748"/>
      <c r="D19" s="745"/>
      <c r="E19" s="733"/>
      <c r="F19" s="733"/>
      <c r="G19" s="733"/>
      <c r="H19" s="733"/>
      <c r="I19" s="44">
        <f t="shared" si="5"/>
        <v>0</v>
      </c>
      <c r="J19" s="124" t="str">
        <f t="shared" si="1"/>
        <v/>
      </c>
      <c r="K19" s="735"/>
    </row>
    <row r="20" spans="1:11" ht="12.75" customHeight="1" x14ac:dyDescent="0.25">
      <c r="A20" s="396" t="s">
        <v>771</v>
      </c>
      <c r="B20" s="169"/>
      <c r="C20" s="748"/>
      <c r="D20" s="745"/>
      <c r="E20" s="733"/>
      <c r="F20" s="733"/>
      <c r="G20" s="733"/>
      <c r="H20" s="733"/>
      <c r="I20" s="44">
        <f t="shared" si="5"/>
        <v>0</v>
      </c>
      <c r="J20" s="124" t="str">
        <f t="shared" si="1"/>
        <v/>
      </c>
      <c r="K20" s="735"/>
    </row>
    <row r="21" spans="1:11" ht="12.75" customHeight="1" x14ac:dyDescent="0.25">
      <c r="A21" s="396" t="s">
        <v>1434</v>
      </c>
      <c r="B21" s="169"/>
      <c r="C21" s="748"/>
      <c r="D21" s="745">
        <v>3603000</v>
      </c>
      <c r="E21" s="733">
        <v>3603000</v>
      </c>
      <c r="F21" s="733"/>
      <c r="G21" s="733"/>
      <c r="H21" s="733">
        <f t="shared" ref="H21:H24" si="6">E21/12*6</f>
        <v>1801500</v>
      </c>
      <c r="I21" s="44">
        <f t="shared" si="5"/>
        <v>-1801500</v>
      </c>
      <c r="J21" s="124">
        <f t="shared" si="1"/>
        <v>-1</v>
      </c>
      <c r="K21" s="735">
        <f t="shared" ref="K21:K24" si="7">E21</f>
        <v>3603000</v>
      </c>
    </row>
    <row r="22" spans="1:11" ht="12.75" customHeight="1" x14ac:dyDescent="0.25">
      <c r="A22" s="396" t="s">
        <v>1435</v>
      </c>
      <c r="B22" s="169"/>
      <c r="C22" s="748"/>
      <c r="D22" s="745">
        <v>4264000</v>
      </c>
      <c r="E22" s="733">
        <v>4264000</v>
      </c>
      <c r="F22" s="733"/>
      <c r="G22" s="733"/>
      <c r="H22" s="733">
        <f t="shared" si="6"/>
        <v>2132000</v>
      </c>
      <c r="I22" s="44">
        <f t="shared" si="5"/>
        <v>-2132000</v>
      </c>
      <c r="J22" s="124">
        <f t="shared" si="1"/>
        <v>-1</v>
      </c>
      <c r="K22" s="735">
        <f t="shared" si="7"/>
        <v>4264000</v>
      </c>
    </row>
    <row r="23" spans="1:11" ht="12.75" customHeight="1" x14ac:dyDescent="0.25">
      <c r="A23" s="396" t="s">
        <v>1436</v>
      </c>
      <c r="B23" s="169"/>
      <c r="C23" s="748"/>
      <c r="D23" s="745">
        <v>24079242</v>
      </c>
      <c r="E23" s="733">
        <v>24079242</v>
      </c>
      <c r="F23" s="733"/>
      <c r="G23" s="733"/>
      <c r="H23" s="733">
        <f t="shared" si="6"/>
        <v>12039621</v>
      </c>
      <c r="I23" s="44">
        <f t="shared" si="5"/>
        <v>-12039621</v>
      </c>
      <c r="J23" s="124">
        <f t="shared" si="1"/>
        <v>-1</v>
      </c>
      <c r="K23" s="735">
        <f t="shared" si="7"/>
        <v>24079242</v>
      </c>
    </row>
    <row r="24" spans="1:11" ht="12.75" customHeight="1" x14ac:dyDescent="0.25">
      <c r="A24" s="396" t="s">
        <v>1437</v>
      </c>
      <c r="B24" s="169"/>
      <c r="C24" s="748"/>
      <c r="D24" s="745">
        <v>22740423</v>
      </c>
      <c r="E24" s="733">
        <v>22740423</v>
      </c>
      <c r="F24" s="733">
        <v>3631263.87</v>
      </c>
      <c r="G24" s="733">
        <v>30116977.699999999</v>
      </c>
      <c r="H24" s="733">
        <f t="shared" si="6"/>
        <v>11370211.5</v>
      </c>
      <c r="I24" s="44">
        <f t="shared" si="5"/>
        <v>18746766.199999999</v>
      </c>
      <c r="J24" s="124">
        <f t="shared" si="1"/>
        <v>1.6487614324500472</v>
      </c>
      <c r="K24" s="735">
        <f t="shared" si="7"/>
        <v>22740423</v>
      </c>
    </row>
    <row r="25" spans="1:11" ht="12.75" customHeight="1" x14ac:dyDescent="0.25">
      <c r="A25" s="396" t="s">
        <v>1451</v>
      </c>
      <c r="B25" s="169"/>
      <c r="C25" s="748"/>
      <c r="D25" s="745"/>
      <c r="E25" s="733"/>
      <c r="F25" s="733">
        <v>1092220.95</v>
      </c>
      <c r="G25" s="733">
        <v>10351298.48</v>
      </c>
      <c r="H25" s="733"/>
      <c r="I25" s="44">
        <f t="shared" si="5"/>
        <v>10351298.48</v>
      </c>
      <c r="J25" s="124" t="e">
        <f t="shared" si="1"/>
        <v>#DIV/0!</v>
      </c>
      <c r="K25" s="735"/>
    </row>
    <row r="26" spans="1:11" ht="12.75" customHeight="1" x14ac:dyDescent="0.25">
      <c r="A26" s="396" t="s">
        <v>1438</v>
      </c>
      <c r="B26" s="169"/>
      <c r="C26" s="748"/>
      <c r="D26" s="745">
        <v>10200000</v>
      </c>
      <c r="E26" s="733">
        <v>10200000</v>
      </c>
      <c r="F26" s="733"/>
      <c r="G26" s="733"/>
      <c r="H26" s="733">
        <f t="shared" ref="H26:H28" si="8">E26/12*6</f>
        <v>5100000</v>
      </c>
      <c r="I26" s="44">
        <f t="shared" si="5"/>
        <v>-5100000</v>
      </c>
      <c r="J26" s="124">
        <f t="shared" si="1"/>
        <v>-1</v>
      </c>
      <c r="K26" s="735">
        <f t="shared" ref="K26:K28" si="9">E26</f>
        <v>10200000</v>
      </c>
    </row>
    <row r="27" spans="1:11" ht="12.75" customHeight="1" x14ac:dyDescent="0.25">
      <c r="A27" s="396" t="s">
        <v>1439</v>
      </c>
      <c r="B27" s="169"/>
      <c r="C27" s="748"/>
      <c r="D27" s="745">
        <v>488000</v>
      </c>
      <c r="E27" s="733">
        <v>488000</v>
      </c>
      <c r="F27" s="733"/>
      <c r="G27" s="733"/>
      <c r="H27" s="733">
        <f t="shared" si="8"/>
        <v>244000</v>
      </c>
      <c r="I27" s="44">
        <f t="shared" si="5"/>
        <v>-244000</v>
      </c>
      <c r="J27" s="124">
        <f t="shared" si="1"/>
        <v>-1</v>
      </c>
      <c r="K27" s="735">
        <f t="shared" si="9"/>
        <v>488000</v>
      </c>
    </row>
    <row r="28" spans="1:11" ht="12.75" customHeight="1" x14ac:dyDescent="0.25">
      <c r="A28" s="396" t="s">
        <v>1440</v>
      </c>
      <c r="B28" s="169"/>
      <c r="C28" s="748"/>
      <c r="D28" s="745">
        <v>1500000</v>
      </c>
      <c r="E28" s="733">
        <v>1500000</v>
      </c>
      <c r="F28" s="733">
        <v>-209201.65</v>
      </c>
      <c r="G28" s="733">
        <v>-1404368.85</v>
      </c>
      <c r="H28" s="733">
        <f t="shared" si="8"/>
        <v>750000</v>
      </c>
      <c r="I28" s="44">
        <f t="shared" si="5"/>
        <v>-2154368.85</v>
      </c>
      <c r="J28" s="124">
        <f t="shared" si="1"/>
        <v>-2.8724918000000002</v>
      </c>
      <c r="K28" s="735">
        <f t="shared" si="9"/>
        <v>1500000</v>
      </c>
    </row>
    <row r="29" spans="1:11" ht="12.75" customHeight="1" x14ac:dyDescent="0.25">
      <c r="A29" s="397" t="str">
        <f>'SC6'!A29</f>
        <v>District Municipality:</v>
      </c>
      <c r="B29" s="169"/>
      <c r="C29" s="516">
        <f t="shared" ref="C29:H29" si="10">SUM(C30:C30)</f>
        <v>0</v>
      </c>
      <c r="D29" s="475">
        <f t="shared" si="10"/>
        <v>0</v>
      </c>
      <c r="E29" s="430">
        <f t="shared" si="10"/>
        <v>0</v>
      </c>
      <c r="F29" s="430">
        <f t="shared" si="10"/>
        <v>0</v>
      </c>
      <c r="G29" s="430">
        <f t="shared" si="10"/>
        <v>0</v>
      </c>
      <c r="H29" s="430">
        <f t="shared" si="10"/>
        <v>0</v>
      </c>
      <c r="I29" s="514">
        <f>G29-H29</f>
        <v>0</v>
      </c>
      <c r="J29" s="552" t="str">
        <f t="shared" si="1"/>
        <v/>
      </c>
      <c r="K29" s="513">
        <f>SUM(K30:K30)</f>
        <v>0</v>
      </c>
    </row>
    <row r="30" spans="1:11" ht="12.75" customHeight="1" x14ac:dyDescent="0.25">
      <c r="A30" s="398" t="str">
        <f>'SC6'!A30</f>
        <v>[insert description]</v>
      </c>
      <c r="B30" s="169"/>
      <c r="C30" s="748"/>
      <c r="D30" s="745"/>
      <c r="E30" s="733"/>
      <c r="F30" s="733"/>
      <c r="G30" s="733"/>
      <c r="H30" s="733"/>
      <c r="I30" s="44">
        <f>G30-H30</f>
        <v>0</v>
      </c>
      <c r="J30" s="124" t="str">
        <f t="shared" si="1"/>
        <v/>
      </c>
      <c r="K30" s="735"/>
    </row>
    <row r="31" spans="1:11" ht="12.75" customHeight="1" x14ac:dyDescent="0.25">
      <c r="A31" s="397" t="str">
        <f>'SC6'!A31</f>
        <v>Other grant providers:</v>
      </c>
      <c r="B31" s="169"/>
      <c r="C31" s="516">
        <f t="shared" ref="C31:H31" si="11">SUM(C32:C32)</f>
        <v>0</v>
      </c>
      <c r="D31" s="475">
        <f t="shared" si="11"/>
        <v>0</v>
      </c>
      <c r="E31" s="430">
        <f t="shared" si="11"/>
        <v>0</v>
      </c>
      <c r="F31" s="430">
        <f t="shared" si="11"/>
        <v>0</v>
      </c>
      <c r="G31" s="430">
        <f t="shared" si="11"/>
        <v>0</v>
      </c>
      <c r="H31" s="430">
        <f t="shared" si="11"/>
        <v>0</v>
      </c>
      <c r="I31" s="514">
        <f>G31-H31</f>
        <v>0</v>
      </c>
      <c r="J31" s="552" t="str">
        <f t="shared" si="1"/>
        <v/>
      </c>
      <c r="K31" s="513">
        <f>SUM(K32:K32)</f>
        <v>0</v>
      </c>
    </row>
    <row r="32" spans="1:11" ht="12.75" customHeight="1" x14ac:dyDescent="0.25">
      <c r="A32" s="398" t="str">
        <f>'SC6'!A32</f>
        <v>[insert description]</v>
      </c>
      <c r="B32" s="169"/>
      <c r="C32" s="748"/>
      <c r="D32" s="745"/>
      <c r="E32" s="733"/>
      <c r="F32" s="733"/>
      <c r="G32" s="733"/>
      <c r="H32" s="733"/>
      <c r="I32" s="44">
        <f>G32-H32</f>
        <v>0</v>
      </c>
      <c r="J32" s="124" t="str">
        <f t="shared" si="1"/>
        <v/>
      </c>
      <c r="K32" s="735"/>
    </row>
    <row r="33" spans="1:11" ht="12.75" customHeight="1" x14ac:dyDescent="0.25">
      <c r="A33" s="558" t="s">
        <v>58</v>
      </c>
      <c r="B33" s="233"/>
      <c r="C33" s="243">
        <f t="shared" ref="C33:I33" si="12">C8+C17+C29+C31</f>
        <v>0</v>
      </c>
      <c r="D33" s="74">
        <f t="shared" si="12"/>
        <v>675483240</v>
      </c>
      <c r="E33" s="73">
        <f t="shared" si="12"/>
        <v>764481240</v>
      </c>
      <c r="F33" s="73">
        <f t="shared" si="12"/>
        <v>31683303.350000001</v>
      </c>
      <c r="G33" s="73">
        <f t="shared" si="12"/>
        <v>126138319.54000001</v>
      </c>
      <c r="H33" s="73">
        <f t="shared" si="12"/>
        <v>382240620</v>
      </c>
      <c r="I33" s="73">
        <f t="shared" si="12"/>
        <v>-256102300.45999995</v>
      </c>
      <c r="J33" s="304">
        <f t="shared" si="1"/>
        <v>-0.67000283868313093</v>
      </c>
      <c r="K33" s="145">
        <f>K8+K17+K29+K31</f>
        <v>764481240</v>
      </c>
    </row>
    <row r="34" spans="1:11" ht="5.0999999999999996" customHeight="1" x14ac:dyDescent="0.25">
      <c r="A34" s="42"/>
      <c r="B34" s="169"/>
      <c r="C34" s="134"/>
      <c r="D34" s="46"/>
      <c r="E34" s="44"/>
      <c r="F34" s="44"/>
      <c r="G34" s="44"/>
      <c r="H34" s="44"/>
      <c r="I34" s="44"/>
      <c r="J34" s="124"/>
      <c r="K34" s="144"/>
    </row>
    <row r="35" spans="1:11" ht="12.75" customHeight="1" x14ac:dyDescent="0.25">
      <c r="A35" s="549" t="s">
        <v>59</v>
      </c>
      <c r="B35" s="169"/>
      <c r="C35" s="134"/>
      <c r="D35" s="46"/>
      <c r="E35" s="44"/>
      <c r="F35" s="44"/>
      <c r="G35" s="44"/>
      <c r="H35" s="44"/>
      <c r="I35" s="44"/>
      <c r="J35" s="124"/>
      <c r="K35" s="144"/>
    </row>
    <row r="36" spans="1:11" ht="13.5" customHeight="1" x14ac:dyDescent="0.25">
      <c r="A36" s="342" t="str">
        <f>'SC6'!A36</f>
        <v>National Government:</v>
      </c>
      <c r="B36" s="169"/>
      <c r="C36" s="134">
        <f t="shared" ref="C36:K36" si="13">SUM(C37:C44)</f>
        <v>0</v>
      </c>
      <c r="D36" s="46">
        <f t="shared" si="13"/>
        <v>255267424.99999985</v>
      </c>
      <c r="E36" s="44">
        <f t="shared" si="13"/>
        <v>255267424.99999985</v>
      </c>
      <c r="F36" s="44">
        <f t="shared" si="13"/>
        <v>29067409.189999998</v>
      </c>
      <c r="G36" s="44">
        <f t="shared" si="13"/>
        <v>127228624.74000001</v>
      </c>
      <c r="H36" s="44">
        <f t="shared" si="13"/>
        <v>127633712.49999993</v>
      </c>
      <c r="I36" s="44">
        <f t="shared" si="13"/>
        <v>-405087.75999992341</v>
      </c>
      <c r="J36" s="343">
        <f>IF(I36=0,"",I36/H36)</f>
        <v>-3.1738304250918318E-3</v>
      </c>
      <c r="K36" s="144">
        <f t="shared" si="13"/>
        <v>255267424.99999985</v>
      </c>
    </row>
    <row r="37" spans="1:11" ht="12.75" customHeight="1" x14ac:dyDescent="0.25">
      <c r="A37" s="396" t="s">
        <v>1441</v>
      </c>
      <c r="B37" s="169"/>
      <c r="C37" s="779"/>
      <c r="D37" s="780">
        <v>187012424.99999985</v>
      </c>
      <c r="E37" s="734">
        <v>187012424.99999985</v>
      </c>
      <c r="F37" s="734">
        <v>24239547.32</v>
      </c>
      <c r="G37" s="734">
        <v>109483495.42</v>
      </c>
      <c r="H37" s="734">
        <f>E37/12*6</f>
        <v>93506212.499999925</v>
      </c>
      <c r="I37" s="514">
        <f>G37-H37</f>
        <v>15977282.920000076</v>
      </c>
      <c r="J37" s="552">
        <f>IF(I37=0,"",I37/H37)</f>
        <v>0.17086867805708728</v>
      </c>
      <c r="K37" s="736">
        <f>E37</f>
        <v>187012424.99999985</v>
      </c>
    </row>
    <row r="38" spans="1:11" ht="12" customHeight="1" x14ac:dyDescent="0.25">
      <c r="A38" s="396" t="s">
        <v>1453</v>
      </c>
      <c r="B38" s="169"/>
      <c r="C38" s="748"/>
      <c r="D38" s="745"/>
      <c r="E38" s="733"/>
      <c r="F38" s="733"/>
      <c r="G38" s="733"/>
      <c r="H38" s="733"/>
      <c r="I38" s="44">
        <f t="shared" ref="I38:I44" si="14">G38-H38</f>
        <v>0</v>
      </c>
      <c r="J38" s="124" t="str">
        <f t="shared" ref="J38:J44" si="15">IF(I38=0,"",I38/H38)</f>
        <v/>
      </c>
      <c r="K38" s="736"/>
    </row>
    <row r="39" spans="1:11" ht="12" customHeight="1" x14ac:dyDescent="0.25">
      <c r="A39" s="396" t="s">
        <v>1001</v>
      </c>
      <c r="B39" s="169"/>
      <c r="C39" s="748"/>
      <c r="D39" s="745">
        <v>35000000</v>
      </c>
      <c r="E39" s="733">
        <v>35000000</v>
      </c>
      <c r="F39" s="733">
        <v>745233.29</v>
      </c>
      <c r="G39" s="733">
        <v>745233.29</v>
      </c>
      <c r="H39" s="733">
        <f>E39/12*6</f>
        <v>17500000</v>
      </c>
      <c r="I39" s="44">
        <f t="shared" si="14"/>
        <v>-16754766.710000001</v>
      </c>
      <c r="J39" s="124">
        <f t="shared" si="15"/>
        <v>-0.95741524057142857</v>
      </c>
      <c r="K39" s="736">
        <f>E39</f>
        <v>35000000</v>
      </c>
    </row>
    <row r="40" spans="1:11" ht="12" customHeight="1" x14ac:dyDescent="0.25">
      <c r="A40" s="396" t="s">
        <v>1454</v>
      </c>
      <c r="B40" s="169"/>
      <c r="C40" s="748"/>
      <c r="D40" s="745"/>
      <c r="E40" s="733"/>
      <c r="F40" s="733"/>
      <c r="G40" s="733"/>
      <c r="H40" s="733"/>
      <c r="I40" s="44">
        <f t="shared" si="14"/>
        <v>0</v>
      </c>
      <c r="J40" s="124" t="str">
        <f t="shared" si="15"/>
        <v/>
      </c>
      <c r="K40" s="736"/>
    </row>
    <row r="41" spans="1:11" ht="12.75" customHeight="1" x14ac:dyDescent="0.25">
      <c r="A41" s="396" t="s">
        <v>1455</v>
      </c>
      <c r="B41" s="169"/>
      <c r="C41" s="748"/>
      <c r="D41" s="745"/>
      <c r="E41" s="733"/>
      <c r="F41" s="733"/>
      <c r="G41" s="733"/>
      <c r="H41" s="733"/>
      <c r="I41" s="44">
        <f t="shared" si="14"/>
        <v>0</v>
      </c>
      <c r="J41" s="124" t="str">
        <f t="shared" si="15"/>
        <v/>
      </c>
      <c r="K41" s="736"/>
    </row>
    <row r="42" spans="1:11" ht="12.75" customHeight="1" x14ac:dyDescent="0.25">
      <c r="A42" s="396" t="s">
        <v>566</v>
      </c>
      <c r="B42" s="169"/>
      <c r="C42" s="748"/>
      <c r="D42" s="745"/>
      <c r="E42" s="733"/>
      <c r="F42" s="733"/>
      <c r="G42" s="733"/>
      <c r="H42" s="733"/>
      <c r="I42" s="44">
        <f t="shared" si="14"/>
        <v>0</v>
      </c>
      <c r="J42" s="124" t="str">
        <f t="shared" si="15"/>
        <v/>
      </c>
      <c r="K42" s="736"/>
    </row>
    <row r="43" spans="1:11" ht="12.75" customHeight="1" x14ac:dyDescent="0.25">
      <c r="A43" s="396" t="s">
        <v>1442</v>
      </c>
      <c r="B43" s="169"/>
      <c r="C43" s="748"/>
      <c r="D43" s="745">
        <v>33255000</v>
      </c>
      <c r="E43" s="733">
        <v>33255000</v>
      </c>
      <c r="F43" s="733">
        <v>4082628.58</v>
      </c>
      <c r="G43" s="733">
        <v>16999896.030000001</v>
      </c>
      <c r="H43" s="733">
        <f>E43/12*6</f>
        <v>16627500</v>
      </c>
      <c r="I43" s="44">
        <f t="shared" si="14"/>
        <v>372396.03000000119</v>
      </c>
      <c r="J43" s="124">
        <f t="shared" si="15"/>
        <v>2.2396393324312206E-2</v>
      </c>
      <c r="K43" s="736">
        <f>E43</f>
        <v>33255000</v>
      </c>
    </row>
    <row r="44" spans="1:11" ht="12.75" customHeight="1" x14ac:dyDescent="0.25">
      <c r="A44" s="396" t="s">
        <v>1456</v>
      </c>
      <c r="B44" s="169"/>
      <c r="C44" s="748"/>
      <c r="D44" s="745"/>
      <c r="E44" s="733"/>
      <c r="F44" s="733"/>
      <c r="G44" s="733"/>
      <c r="H44" s="733"/>
      <c r="I44" s="44">
        <f t="shared" si="14"/>
        <v>0</v>
      </c>
      <c r="J44" s="124" t="str">
        <f t="shared" si="15"/>
        <v/>
      </c>
      <c r="K44" s="736"/>
    </row>
    <row r="45" spans="1:11" ht="12.75" customHeight="1" x14ac:dyDescent="0.25">
      <c r="A45" s="397" t="str">
        <f>'SC6'!A45</f>
        <v>Provincial Government:</v>
      </c>
      <c r="B45" s="169"/>
      <c r="C45" s="516">
        <f t="shared" ref="C45:H45" si="16">SUM(C46:C57)</f>
        <v>0</v>
      </c>
      <c r="D45" s="475">
        <f t="shared" si="16"/>
        <v>270624156</v>
      </c>
      <c r="E45" s="430">
        <f t="shared" si="16"/>
        <v>270624156</v>
      </c>
      <c r="F45" s="430">
        <f t="shared" si="16"/>
        <v>3819670.42</v>
      </c>
      <c r="G45" s="430">
        <f t="shared" si="16"/>
        <v>18071582.129999999</v>
      </c>
      <c r="H45" s="430">
        <f t="shared" si="16"/>
        <v>135312078</v>
      </c>
      <c r="I45" s="514">
        <f>G45-H45</f>
        <v>-117240495.87</v>
      </c>
      <c r="J45" s="552">
        <f>IF(I45=0,"",I45/H45)</f>
        <v>-0.86644516589272991</v>
      </c>
      <c r="K45" s="513">
        <f>SUM(K46:K57)</f>
        <v>270624156</v>
      </c>
    </row>
    <row r="46" spans="1:11" ht="12.75" customHeight="1" x14ac:dyDescent="0.25">
      <c r="A46" s="397" t="s">
        <v>1439</v>
      </c>
      <c r="B46" s="169"/>
      <c r="C46" s="783"/>
      <c r="D46" s="784"/>
      <c r="E46" s="737"/>
      <c r="F46" s="737"/>
      <c r="G46" s="737"/>
      <c r="H46" s="737"/>
      <c r="I46" s="514">
        <f>G46-H46</f>
        <v>0</v>
      </c>
      <c r="J46" s="552" t="str">
        <f>IF(I46=0,"",I46/H46)</f>
        <v/>
      </c>
      <c r="K46" s="738"/>
    </row>
    <row r="47" spans="1:11" ht="12.75" customHeight="1" x14ac:dyDescent="0.25">
      <c r="A47" s="397" t="s">
        <v>1457</v>
      </c>
      <c r="B47" s="169"/>
      <c r="C47" s="786"/>
      <c r="D47" s="787"/>
      <c r="E47" s="788"/>
      <c r="F47" s="788"/>
      <c r="G47" s="788">
        <v>1050024.72</v>
      </c>
      <c r="H47" s="788"/>
      <c r="I47" s="44"/>
      <c r="J47" s="124"/>
      <c r="K47" s="789"/>
    </row>
    <row r="48" spans="1:11" ht="12.75" customHeight="1" x14ac:dyDescent="0.25">
      <c r="A48" s="397" t="s">
        <v>771</v>
      </c>
      <c r="B48" s="169"/>
      <c r="C48" s="786"/>
      <c r="D48" s="787"/>
      <c r="E48" s="788"/>
      <c r="F48" s="788"/>
      <c r="G48" s="788"/>
      <c r="H48" s="788"/>
      <c r="I48" s="44"/>
      <c r="J48" s="124"/>
      <c r="K48" s="789"/>
    </row>
    <row r="49" spans="1:11" ht="12.75" customHeight="1" x14ac:dyDescent="0.25">
      <c r="A49" s="397" t="s">
        <v>1458</v>
      </c>
      <c r="B49" s="169"/>
      <c r="C49" s="786"/>
      <c r="D49" s="787"/>
      <c r="E49" s="788"/>
      <c r="F49" s="788"/>
      <c r="G49" s="788"/>
      <c r="H49" s="788"/>
      <c r="I49" s="44"/>
      <c r="J49" s="124"/>
      <c r="K49" s="789"/>
    </row>
    <row r="50" spans="1:11" ht="12.75" customHeight="1" x14ac:dyDescent="0.25">
      <c r="A50" s="397" t="s">
        <v>1444</v>
      </c>
      <c r="B50" s="169"/>
      <c r="C50" s="786"/>
      <c r="D50" s="733">
        <v>6124156</v>
      </c>
      <c r="E50" s="733">
        <v>6124156</v>
      </c>
      <c r="F50" s="788"/>
      <c r="G50" s="788"/>
      <c r="H50" s="733">
        <f t="shared" ref="H50:H52" si="17">E50/12*6</f>
        <v>3062078</v>
      </c>
      <c r="I50" s="44"/>
      <c r="J50" s="124"/>
      <c r="K50" s="733">
        <f t="shared" ref="K50:K52" si="18">E50</f>
        <v>6124156</v>
      </c>
    </row>
    <row r="51" spans="1:11" ht="12.75" customHeight="1" x14ac:dyDescent="0.25">
      <c r="A51" s="397" t="s">
        <v>1459</v>
      </c>
      <c r="B51" s="169"/>
      <c r="C51" s="786"/>
      <c r="D51" s="733">
        <v>2500000</v>
      </c>
      <c r="E51" s="733">
        <v>2500000</v>
      </c>
      <c r="F51" s="788"/>
      <c r="G51" s="788"/>
      <c r="H51" s="733">
        <f t="shared" si="17"/>
        <v>1250000</v>
      </c>
      <c r="I51" s="44"/>
      <c r="J51" s="124"/>
      <c r="K51" s="733">
        <f t="shared" si="18"/>
        <v>2500000</v>
      </c>
    </row>
    <row r="52" spans="1:11" ht="12.75" customHeight="1" x14ac:dyDescent="0.25">
      <c r="A52" s="397" t="s">
        <v>1439</v>
      </c>
      <c r="B52" s="169"/>
      <c r="C52" s="786"/>
      <c r="D52" s="733">
        <v>774000</v>
      </c>
      <c r="E52" s="733">
        <v>774000</v>
      </c>
      <c r="F52" s="788"/>
      <c r="G52" s="788"/>
      <c r="H52" s="733">
        <f t="shared" si="17"/>
        <v>387000</v>
      </c>
      <c r="I52" s="44"/>
      <c r="J52" s="124"/>
      <c r="K52" s="733">
        <f t="shared" si="18"/>
        <v>774000</v>
      </c>
    </row>
    <row r="53" spans="1:11" ht="12.75" customHeight="1" x14ac:dyDescent="0.25">
      <c r="A53" s="397" t="s">
        <v>1440</v>
      </c>
      <c r="B53" s="169"/>
      <c r="C53" s="786"/>
      <c r="D53" s="733"/>
      <c r="E53" s="733"/>
      <c r="F53" s="788"/>
      <c r="G53" s="788"/>
      <c r="H53" s="733"/>
      <c r="I53" s="44"/>
      <c r="J53" s="124"/>
      <c r="K53" s="733"/>
    </row>
    <row r="54" spans="1:11" ht="12.75" customHeight="1" x14ac:dyDescent="0.25">
      <c r="A54" s="397" t="s">
        <v>1443</v>
      </c>
      <c r="B54" s="169"/>
      <c r="C54" s="786"/>
      <c r="D54" s="733">
        <v>244264000</v>
      </c>
      <c r="E54" s="733">
        <v>244264000</v>
      </c>
      <c r="F54" s="788"/>
      <c r="G54" s="788"/>
      <c r="H54" s="733">
        <f t="shared" ref="H54:H55" si="19">E54/12*6</f>
        <v>122132000</v>
      </c>
      <c r="I54" s="44"/>
      <c r="J54" s="124"/>
      <c r="K54" s="733">
        <f t="shared" ref="K54:K55" si="20">E54</f>
        <v>244264000</v>
      </c>
    </row>
    <row r="55" spans="1:11" ht="12.75" customHeight="1" x14ac:dyDescent="0.25">
      <c r="A55" s="397" t="s">
        <v>1445</v>
      </c>
      <c r="B55" s="169"/>
      <c r="C55" s="786"/>
      <c r="D55" s="733">
        <v>6750000</v>
      </c>
      <c r="E55" s="733">
        <v>6750000</v>
      </c>
      <c r="F55" s="733">
        <v>3781430.42</v>
      </c>
      <c r="G55" s="733">
        <v>16930531.039999999</v>
      </c>
      <c r="H55" s="733">
        <f t="shared" si="19"/>
        <v>3375000</v>
      </c>
      <c r="I55" s="44"/>
      <c r="J55" s="124"/>
      <c r="K55" s="733">
        <f t="shared" si="20"/>
        <v>6750000</v>
      </c>
    </row>
    <row r="56" spans="1:11" ht="12.75" customHeight="1" x14ac:dyDescent="0.25">
      <c r="A56" s="397" t="s">
        <v>623</v>
      </c>
      <c r="B56" s="169"/>
      <c r="C56" s="786"/>
      <c r="D56" s="733"/>
      <c r="E56" s="788"/>
      <c r="F56" s="788"/>
      <c r="G56" s="788"/>
      <c r="H56" s="788"/>
      <c r="I56" s="44"/>
      <c r="J56" s="124"/>
      <c r="K56" s="789"/>
    </row>
    <row r="57" spans="1:11" ht="12.75" customHeight="1" x14ac:dyDescent="0.25">
      <c r="A57" s="396" t="s">
        <v>1446</v>
      </c>
      <c r="B57" s="169"/>
      <c r="C57" s="748"/>
      <c r="D57" s="733">
        <v>10212000</v>
      </c>
      <c r="E57" s="733">
        <v>10212000</v>
      </c>
      <c r="F57" s="733">
        <v>38240</v>
      </c>
      <c r="G57" s="733">
        <v>91026.37</v>
      </c>
      <c r="H57" s="733">
        <f>E57/12*6</f>
        <v>5106000</v>
      </c>
      <c r="I57" s="44">
        <f>G57-H57</f>
        <v>-5014973.63</v>
      </c>
      <c r="J57" s="124">
        <f t="shared" ref="J57:J62" si="21">IF(I57=0,"",I57/H57)</f>
        <v>-0.98217266549157856</v>
      </c>
      <c r="K57" s="735">
        <f>E57</f>
        <v>10212000</v>
      </c>
    </row>
    <row r="58" spans="1:11" ht="12.75" customHeight="1" x14ac:dyDescent="0.25">
      <c r="A58" s="397" t="str">
        <f>'SC6'!A57</f>
        <v>District Municipality:</v>
      </c>
      <c r="B58" s="169"/>
      <c r="C58" s="516">
        <f t="shared" ref="C58:H58" si="22">SUM(C59:C59)</f>
        <v>0</v>
      </c>
      <c r="D58" s="475">
        <f t="shared" si="22"/>
        <v>0</v>
      </c>
      <c r="E58" s="430">
        <f t="shared" si="22"/>
        <v>0</v>
      </c>
      <c r="F58" s="430">
        <f t="shared" si="22"/>
        <v>0</v>
      </c>
      <c r="G58" s="430">
        <f t="shared" si="22"/>
        <v>0</v>
      </c>
      <c r="H58" s="430">
        <f t="shared" si="22"/>
        <v>0</v>
      </c>
      <c r="I58" s="514">
        <f>G58-H58</f>
        <v>0</v>
      </c>
      <c r="J58" s="552" t="str">
        <f t="shared" si="21"/>
        <v/>
      </c>
      <c r="K58" s="513">
        <f>SUM(K59:K59)</f>
        <v>0</v>
      </c>
    </row>
    <row r="59" spans="1:11" ht="12.75" customHeight="1" x14ac:dyDescent="0.25">
      <c r="A59" s="397"/>
      <c r="B59" s="169"/>
      <c r="C59" s="783"/>
      <c r="D59" s="784"/>
      <c r="E59" s="737"/>
      <c r="F59" s="737"/>
      <c r="G59" s="737"/>
      <c r="H59" s="737"/>
      <c r="I59" s="514">
        <f>G59-H59</f>
        <v>0</v>
      </c>
      <c r="J59" s="552" t="str">
        <f t="shared" si="21"/>
        <v/>
      </c>
      <c r="K59" s="738"/>
    </row>
    <row r="60" spans="1:11" ht="12.75" customHeight="1" x14ac:dyDescent="0.25">
      <c r="A60" s="397" t="str">
        <f>'SC6'!A59</f>
        <v>Other grant providers:</v>
      </c>
      <c r="B60" s="169"/>
      <c r="C60" s="516">
        <f t="shared" ref="C60:H60" si="23">SUM(C61:C61)</f>
        <v>0</v>
      </c>
      <c r="D60" s="475">
        <f t="shared" si="23"/>
        <v>0</v>
      </c>
      <c r="E60" s="430">
        <f t="shared" si="23"/>
        <v>0</v>
      </c>
      <c r="F60" s="430">
        <f t="shared" si="23"/>
        <v>0</v>
      </c>
      <c r="G60" s="430">
        <f t="shared" si="23"/>
        <v>0</v>
      </c>
      <c r="H60" s="430">
        <f t="shared" si="23"/>
        <v>0</v>
      </c>
      <c r="I60" s="514">
        <f>G60-H60</f>
        <v>0</v>
      </c>
      <c r="J60" s="552" t="str">
        <f t="shared" si="21"/>
        <v/>
      </c>
      <c r="K60" s="513">
        <f>SUM(K61:K61)</f>
        <v>0</v>
      </c>
    </row>
    <row r="61" spans="1:11" ht="12.75" customHeight="1" x14ac:dyDescent="0.25">
      <c r="A61" s="397"/>
      <c r="B61" s="169"/>
      <c r="C61" s="783"/>
      <c r="D61" s="784"/>
      <c r="E61" s="737"/>
      <c r="F61" s="737"/>
      <c r="G61" s="737"/>
      <c r="H61" s="737"/>
      <c r="I61" s="514">
        <f>G61-H61</f>
        <v>0</v>
      </c>
      <c r="J61" s="552" t="str">
        <f t="shared" si="21"/>
        <v/>
      </c>
      <c r="K61" s="738"/>
    </row>
    <row r="62" spans="1:11" ht="12.75" customHeight="1" x14ac:dyDescent="0.25">
      <c r="A62" s="557" t="s">
        <v>60</v>
      </c>
      <c r="B62" s="233"/>
      <c r="C62" s="243">
        <f t="shared" ref="C62:I62" si="24">C36+C45+C58+C60</f>
        <v>0</v>
      </c>
      <c r="D62" s="74">
        <f t="shared" si="24"/>
        <v>525891580.99999988</v>
      </c>
      <c r="E62" s="73">
        <f t="shared" si="24"/>
        <v>525891580.99999988</v>
      </c>
      <c r="F62" s="73">
        <f t="shared" si="24"/>
        <v>32887079.609999999</v>
      </c>
      <c r="G62" s="73">
        <f t="shared" si="24"/>
        <v>145300206.87</v>
      </c>
      <c r="H62" s="73">
        <f t="shared" si="24"/>
        <v>262945790.49999994</v>
      </c>
      <c r="I62" s="73">
        <f t="shared" si="24"/>
        <v>-117645583.62999994</v>
      </c>
      <c r="J62" s="304">
        <f t="shared" si="21"/>
        <v>-0.44741383159735337</v>
      </c>
      <c r="K62" s="145">
        <f>K36+K45+K58+K60</f>
        <v>525891580.99999988</v>
      </c>
    </row>
    <row r="63" spans="1:11" ht="5.0999999999999996" customHeight="1" x14ac:dyDescent="0.25">
      <c r="A63" s="548"/>
      <c r="B63" s="169"/>
      <c r="C63" s="134"/>
      <c r="D63" s="46"/>
      <c r="E63" s="44"/>
      <c r="F63" s="44"/>
      <c r="G63" s="44"/>
      <c r="H63" s="44"/>
      <c r="I63" s="44"/>
      <c r="J63" s="124"/>
      <c r="K63" s="144"/>
    </row>
    <row r="64" spans="1:11" ht="12.75" customHeight="1" x14ac:dyDescent="0.25">
      <c r="A64" s="687" t="s">
        <v>132</v>
      </c>
      <c r="B64" s="284"/>
      <c r="C64" s="112">
        <f t="shared" ref="C64:I64" si="25">C33+C62</f>
        <v>0</v>
      </c>
      <c r="D64" s="56">
        <f t="shared" si="25"/>
        <v>1201374821</v>
      </c>
      <c r="E64" s="55">
        <f t="shared" si="25"/>
        <v>1290372821</v>
      </c>
      <c r="F64" s="55">
        <f t="shared" si="25"/>
        <v>64570382.960000001</v>
      </c>
      <c r="G64" s="55">
        <f t="shared" si="25"/>
        <v>271438526.41000003</v>
      </c>
      <c r="H64" s="55">
        <f t="shared" si="25"/>
        <v>645186410.5</v>
      </c>
      <c r="I64" s="55">
        <f t="shared" si="25"/>
        <v>-373747884.08999991</v>
      </c>
      <c r="J64" s="290">
        <f>IF(I64=0,"",I64/H64)</f>
        <v>-0.57928666507460469</v>
      </c>
      <c r="K64" s="235">
        <f>K33+K62</f>
        <v>1290372821</v>
      </c>
    </row>
    <row r="65" spans="1:11" ht="12.75" customHeight="1" x14ac:dyDescent="0.25">
      <c r="A65" s="57" t="str">
        <f>head27a</f>
        <v>References</v>
      </c>
      <c r="B65" s="58"/>
      <c r="C65" s="62"/>
      <c r="D65" s="62"/>
      <c r="E65" s="62"/>
      <c r="F65" s="62"/>
      <c r="G65" s="62"/>
      <c r="H65" s="62"/>
      <c r="I65" s="62"/>
      <c r="J65" s="62"/>
      <c r="K65" s="62"/>
    </row>
    <row r="66" spans="1:11" ht="12.75" customHeight="1" x14ac:dyDescent="0.25">
      <c r="A66" s="80"/>
      <c r="B66" s="58"/>
      <c r="C66" s="67"/>
      <c r="D66" s="67"/>
      <c r="E66" s="67"/>
      <c r="F66" s="67"/>
      <c r="G66" s="67"/>
      <c r="H66" s="67"/>
      <c r="I66" s="67"/>
      <c r="J66" s="67"/>
      <c r="K66" s="67"/>
    </row>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sheetData>
  <sheetProtection sheet="1" objects="1" scenarios="1"/>
  <mergeCells count="3">
    <mergeCell ref="A2:A3"/>
    <mergeCell ref="B2:B3"/>
    <mergeCell ref="A1:K1"/>
  </mergeCells>
  <phoneticPr fontId="2" type="noConversion"/>
  <printOptions horizontalCentered="1"/>
  <pageMargins left="0.35" right="0.14000000000000001" top="0.77" bottom="0.6" header="0.51181102362204722" footer="0.51"/>
  <pageSetup paperSize="9" scale="8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2"/>
    <pageSetUpPr fitToPage="1"/>
  </sheetPr>
  <dimension ref="A1:G80"/>
  <sheetViews>
    <sheetView showGridLines="0" showZeros="0" zoomScaleNormal="100" workbookViewId="0">
      <pane xSplit="1" ySplit="4" topLeftCell="B23" activePane="bottomRight" state="frozen"/>
      <selection pane="topRight"/>
      <selection pane="bottomLeft"/>
      <selection pane="bottomRight" activeCell="A33" sqref="A33"/>
    </sheetView>
  </sheetViews>
  <sheetFormatPr defaultColWidth="9.140625" defaultRowHeight="12.75" x14ac:dyDescent="0.25"/>
  <cols>
    <col min="1" max="1" width="40.7109375" style="25" customWidth="1"/>
    <col min="2" max="2" width="3.5703125" style="68" customWidth="1"/>
    <col min="3" max="3" width="10.7109375" style="25" customWidth="1"/>
    <col min="4" max="7" width="11.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7" ht="13.5" x14ac:dyDescent="0.25">
      <c r="A1" s="1053" t="str">
        <f>muni&amp; " - "&amp;S71T&amp; " - "&amp;Head57</f>
        <v>KZN225 Msunduzi - Supporting Table SC7(2) Monthly Budget Statement - Expenditure against approved rollovers - Mid-Year Assessment</v>
      </c>
      <c r="B1" s="1053"/>
      <c r="C1" s="1053"/>
      <c r="D1" s="1053"/>
      <c r="E1" s="1053"/>
      <c r="F1" s="1053"/>
      <c r="G1" s="1053"/>
    </row>
    <row r="2" spans="1:7" ht="21.75" customHeight="1" x14ac:dyDescent="0.25">
      <c r="A2" s="1042" t="str">
        <f>desc</f>
        <v>Description</v>
      </c>
      <c r="B2" s="1035" t="str">
        <f>head27</f>
        <v>Ref</v>
      </c>
      <c r="C2" s="1037" t="str">
        <f>Head2</f>
        <v>Budget Year 2020/21</v>
      </c>
      <c r="D2" s="1038"/>
      <c r="E2" s="1038"/>
      <c r="F2" s="1038"/>
      <c r="G2" s="1039"/>
    </row>
    <row r="3" spans="1:7" ht="39.75" customHeight="1" x14ac:dyDescent="0.25">
      <c r="A3" s="1043"/>
      <c r="B3" s="1046"/>
      <c r="C3" s="199" t="str">
        <f>"Approved Rollover " &amp;Head1</f>
        <v>Approved Rollover 2019/20</v>
      </c>
      <c r="D3" s="141" t="str">
        <f>Head38</f>
        <v>Monthly actual</v>
      </c>
      <c r="E3" s="141" t="str">
        <f>Head39</f>
        <v>YearTD actual</v>
      </c>
      <c r="F3" s="141" t="str">
        <f>Head41</f>
        <v>YTD variance</v>
      </c>
      <c r="G3" s="904" t="str">
        <f>Head41</f>
        <v>YTD variance</v>
      </c>
    </row>
    <row r="4" spans="1:7" x14ac:dyDescent="0.25">
      <c r="A4" s="291" t="s">
        <v>667</v>
      </c>
      <c r="B4" s="248"/>
      <c r="C4" s="293"/>
      <c r="D4" s="295"/>
      <c r="E4" s="903"/>
      <c r="F4" s="295"/>
      <c r="G4" s="905" t="s">
        <v>575</v>
      </c>
    </row>
    <row r="5" spans="1:7" ht="12.75" customHeight="1" x14ac:dyDescent="0.25">
      <c r="A5" s="136" t="s">
        <v>536</v>
      </c>
      <c r="B5" s="309"/>
      <c r="C5" s="46"/>
      <c r="D5" s="44"/>
      <c r="E5" s="44"/>
      <c r="F5" s="44"/>
      <c r="G5" s="276"/>
    </row>
    <row r="6" spans="1:7" ht="5.0999999999999996" customHeight="1" x14ac:dyDescent="0.25">
      <c r="A6" s="35"/>
      <c r="B6" s="169"/>
      <c r="C6" s="46"/>
      <c r="D6" s="44"/>
      <c r="E6" s="44"/>
      <c r="F6" s="44"/>
      <c r="G6" s="276"/>
    </row>
    <row r="7" spans="1:7" ht="12.75" customHeight="1" x14ac:dyDescent="0.25">
      <c r="A7" s="549" t="s">
        <v>1095</v>
      </c>
      <c r="B7" s="169"/>
      <c r="C7" s="46"/>
      <c r="D7" s="44"/>
      <c r="E7" s="44"/>
      <c r="F7" s="44"/>
      <c r="G7" s="276"/>
    </row>
    <row r="8" spans="1:7" ht="14.25" customHeight="1" x14ac:dyDescent="0.25">
      <c r="A8" s="106" t="str">
        <f>'SC6'!A8</f>
        <v>National Government:</v>
      </c>
      <c r="B8" s="169"/>
      <c r="C8" s="51">
        <f>SUM(C9:C15)</f>
        <v>0</v>
      </c>
      <c r="D8" s="50">
        <f>SUM(D9:D15)</f>
        <v>0</v>
      </c>
      <c r="E8" s="50">
        <f>SUM(E9:E15)</f>
        <v>0</v>
      </c>
      <c r="F8" s="50">
        <f>SUM(F9:F15)</f>
        <v>0</v>
      </c>
      <c r="G8" s="906" t="str">
        <f>IF(F8=0,"",F8/C8)</f>
        <v/>
      </c>
    </row>
    <row r="9" spans="1:7" x14ac:dyDescent="0.25">
      <c r="A9" s="396" t="str">
        <f>'SC6'!A9</f>
        <v>Local Government Equitable Share</v>
      </c>
      <c r="B9" s="169"/>
      <c r="C9" s="780"/>
      <c r="D9" s="734"/>
      <c r="E9" s="734"/>
      <c r="F9" s="514">
        <f>E9-C9</f>
        <v>0</v>
      </c>
      <c r="G9" s="907" t="str">
        <f t="shared" ref="G9:G49" si="0">IF(F9=0,"",F9/C9)</f>
        <v/>
      </c>
    </row>
    <row r="10" spans="1:7" ht="12.75" customHeight="1" x14ac:dyDescent="0.25">
      <c r="A10" s="396" t="str">
        <f>'SC6'!A10</f>
        <v xml:space="preserve">Finance Management </v>
      </c>
      <c r="B10" s="169"/>
      <c r="C10" s="745"/>
      <c r="D10" s="733"/>
      <c r="E10" s="733"/>
      <c r="F10" s="44">
        <f t="shared" ref="F10:F15" si="1">C10-E10</f>
        <v>0</v>
      </c>
      <c r="G10" s="276" t="str">
        <f t="shared" si="0"/>
        <v/>
      </c>
    </row>
    <row r="11" spans="1:7" ht="12.75" customHeight="1" x14ac:dyDescent="0.25">
      <c r="A11" s="396" t="str">
        <f>'SC6'!A14</f>
        <v>Public Transport Infrastracture</v>
      </c>
      <c r="B11" s="169"/>
      <c r="C11" s="745"/>
      <c r="D11" s="733"/>
      <c r="E11" s="733"/>
      <c r="F11" s="44">
        <f t="shared" si="1"/>
        <v>0</v>
      </c>
      <c r="G11" s="276" t="str">
        <f t="shared" si="0"/>
        <v/>
      </c>
    </row>
    <row r="12" spans="1:7" ht="12.75" customHeight="1" x14ac:dyDescent="0.25">
      <c r="A12" s="396" t="str">
        <f>'SC6'!A15</f>
        <v>Energy Efficiency  and Demand Management</v>
      </c>
      <c r="B12" s="169"/>
      <c r="C12" s="745"/>
      <c r="D12" s="733"/>
      <c r="E12" s="733"/>
      <c r="F12" s="44">
        <f t="shared" si="1"/>
        <v>0</v>
      </c>
      <c r="G12" s="276" t="str">
        <f t="shared" si="0"/>
        <v/>
      </c>
    </row>
    <row r="13" spans="1:7" ht="12.75" customHeight="1" x14ac:dyDescent="0.25">
      <c r="A13" s="396"/>
      <c r="B13" s="169"/>
      <c r="C13" s="745"/>
      <c r="D13" s="733"/>
      <c r="E13" s="733"/>
      <c r="F13" s="44">
        <f t="shared" si="1"/>
        <v>0</v>
      </c>
      <c r="G13" s="276" t="str">
        <f t="shared" si="0"/>
        <v/>
      </c>
    </row>
    <row r="14" spans="1:7" ht="12.75" customHeight="1" x14ac:dyDescent="0.25">
      <c r="A14" s="396"/>
      <c r="B14" s="169"/>
      <c r="C14" s="745"/>
      <c r="D14" s="733"/>
      <c r="E14" s="733"/>
      <c r="F14" s="44">
        <f t="shared" si="1"/>
        <v>0</v>
      </c>
      <c r="G14" s="276" t="str">
        <f t="shared" si="0"/>
        <v/>
      </c>
    </row>
    <row r="15" spans="1:7" ht="12.75" customHeight="1" x14ac:dyDescent="0.25">
      <c r="A15" s="396" t="e">
        <f>'SC6'!#REF!</f>
        <v>#REF!</v>
      </c>
      <c r="B15" s="169"/>
      <c r="C15" s="745"/>
      <c r="D15" s="733"/>
      <c r="E15" s="733"/>
      <c r="F15" s="44">
        <f t="shared" si="1"/>
        <v>0</v>
      </c>
      <c r="G15" s="276" t="str">
        <f t="shared" si="0"/>
        <v/>
      </c>
    </row>
    <row r="16" spans="1:7" ht="12.75" customHeight="1" x14ac:dyDescent="0.25">
      <c r="A16" s="397" t="str">
        <f>'SC6'!A17</f>
        <v>Provincial Government:</v>
      </c>
      <c r="B16" s="169"/>
      <c r="C16" s="475">
        <f>SUM(C17:C21)</f>
        <v>0</v>
      </c>
      <c r="D16" s="430">
        <f>SUM(D17:D21)</f>
        <v>0</v>
      </c>
      <c r="E16" s="430">
        <f>SUM(E17:E21)</f>
        <v>0</v>
      </c>
      <c r="F16" s="430">
        <f>SUM(F17:F21)</f>
        <v>0</v>
      </c>
      <c r="G16" s="908" t="str">
        <f t="shared" si="0"/>
        <v/>
      </c>
    </row>
    <row r="17" spans="1:7" ht="12.75" customHeight="1" x14ac:dyDescent="0.25">
      <c r="A17" s="396" t="e">
        <f>'SC6'!#REF!</f>
        <v>#REF!</v>
      </c>
      <c r="B17" s="169"/>
      <c r="C17" s="780"/>
      <c r="D17" s="734"/>
      <c r="E17" s="734"/>
      <c r="F17" s="514">
        <f>C17-E17</f>
        <v>0</v>
      </c>
      <c r="G17" s="907" t="str">
        <f t="shared" si="0"/>
        <v/>
      </c>
    </row>
    <row r="18" spans="1:7" ht="12.75" customHeight="1" x14ac:dyDescent="0.25">
      <c r="A18" s="396" t="e">
        <f>'SC6'!#REF!</f>
        <v>#REF!</v>
      </c>
      <c r="B18" s="169"/>
      <c r="C18" s="745"/>
      <c r="D18" s="733"/>
      <c r="E18" s="733"/>
      <c r="F18" s="44">
        <f>C18-E18</f>
        <v>0</v>
      </c>
      <c r="G18" s="276" t="str">
        <f t="shared" si="0"/>
        <v/>
      </c>
    </row>
    <row r="19" spans="1:7" ht="12.75" customHeight="1" x14ac:dyDescent="0.25">
      <c r="A19" s="396" t="e">
        <f>'SC6'!#REF!</f>
        <v>#REF!</v>
      </c>
      <c r="B19" s="169"/>
      <c r="C19" s="745"/>
      <c r="D19" s="733"/>
      <c r="E19" s="733"/>
      <c r="F19" s="44">
        <f>C19-E19</f>
        <v>0</v>
      </c>
      <c r="G19" s="276" t="str">
        <f t="shared" si="0"/>
        <v/>
      </c>
    </row>
    <row r="20" spans="1:7" ht="12.75" customHeight="1" x14ac:dyDescent="0.25">
      <c r="A20" s="396" t="e">
        <f>'SC6'!#REF!</f>
        <v>#REF!</v>
      </c>
      <c r="B20" s="169"/>
      <c r="C20" s="745"/>
      <c r="D20" s="733"/>
      <c r="E20" s="733"/>
      <c r="F20" s="44">
        <f>C20-E20</f>
        <v>0</v>
      </c>
      <c r="G20" s="276" t="str">
        <f t="shared" si="0"/>
        <v/>
      </c>
    </row>
    <row r="21" spans="1:7" ht="12.75" customHeight="1" x14ac:dyDescent="0.25">
      <c r="A21" s="396" t="e">
        <f>'SC6'!#REF!</f>
        <v>#REF!</v>
      </c>
      <c r="B21" s="169"/>
      <c r="C21" s="745"/>
      <c r="D21" s="733"/>
      <c r="E21" s="733"/>
      <c r="F21" s="44">
        <f>C21-E21</f>
        <v>0</v>
      </c>
      <c r="G21" s="276" t="str">
        <f t="shared" si="0"/>
        <v/>
      </c>
    </row>
    <row r="22" spans="1:7" ht="12.75" customHeight="1" x14ac:dyDescent="0.25">
      <c r="A22" s="397" t="str">
        <f>'SC6'!A29</f>
        <v>District Municipality:</v>
      </c>
      <c r="B22" s="169"/>
      <c r="C22" s="475">
        <f>SUM(C23:C24)</f>
        <v>0</v>
      </c>
      <c r="D22" s="430">
        <f>SUM(D23:D24)</f>
        <v>0</v>
      </c>
      <c r="E22" s="430">
        <f>SUM(E23:E24)</f>
        <v>0</v>
      </c>
      <c r="F22" s="514">
        <f>SUM(F23:F24)</f>
        <v>0</v>
      </c>
      <c r="G22" s="907" t="str">
        <f t="shared" si="0"/>
        <v/>
      </c>
    </row>
    <row r="23" spans="1:7" ht="12.75" customHeight="1" x14ac:dyDescent="0.25">
      <c r="A23" s="397"/>
      <c r="B23" s="169"/>
      <c r="C23" s="784"/>
      <c r="D23" s="737"/>
      <c r="E23" s="737"/>
      <c r="F23" s="514">
        <f>C23-E23</f>
        <v>0</v>
      </c>
      <c r="G23" s="907" t="str">
        <f t="shared" si="0"/>
        <v/>
      </c>
    </row>
    <row r="24" spans="1:7" ht="12.75" customHeight="1" x14ac:dyDescent="0.25">
      <c r="A24" s="398" t="str">
        <f>'SC6'!A30</f>
        <v>[insert description]</v>
      </c>
      <c r="B24" s="169"/>
      <c r="C24" s="745"/>
      <c r="D24" s="733"/>
      <c r="E24" s="733"/>
      <c r="F24" s="44">
        <f>C24-E24</f>
        <v>0</v>
      </c>
      <c r="G24" s="276" t="str">
        <f t="shared" si="0"/>
        <v/>
      </c>
    </row>
    <row r="25" spans="1:7" ht="12.75" customHeight="1" x14ac:dyDescent="0.25">
      <c r="A25" s="397" t="str">
        <f>'SC6'!A31</f>
        <v>Other grant providers:</v>
      </c>
      <c r="B25" s="169"/>
      <c r="C25" s="475">
        <f>SUM(C26:C27)</f>
        <v>0</v>
      </c>
      <c r="D25" s="430">
        <f>SUM(D26:D27)</f>
        <v>0</v>
      </c>
      <c r="E25" s="430">
        <f>SUM(E26:E27)</f>
        <v>0</v>
      </c>
      <c r="F25" s="514">
        <f>SUM(F26:F27)</f>
        <v>0</v>
      </c>
      <c r="G25" s="907" t="str">
        <f t="shared" si="0"/>
        <v/>
      </c>
    </row>
    <row r="26" spans="1:7" ht="12.75" customHeight="1" x14ac:dyDescent="0.25">
      <c r="A26" s="397"/>
      <c r="B26" s="169"/>
      <c r="C26" s="784"/>
      <c r="D26" s="737"/>
      <c r="E26" s="737"/>
      <c r="F26" s="514">
        <f>C26-E26</f>
        <v>0</v>
      </c>
      <c r="G26" s="907" t="str">
        <f t="shared" si="0"/>
        <v/>
      </c>
    </row>
    <row r="27" spans="1:7" ht="12.75" customHeight="1" x14ac:dyDescent="0.25">
      <c r="A27" s="398" t="str">
        <f>'SC6'!A32</f>
        <v>[insert description]</v>
      </c>
      <c r="B27" s="169"/>
      <c r="C27" s="745"/>
      <c r="D27" s="733"/>
      <c r="E27" s="733"/>
      <c r="F27" s="44">
        <f>C27-E27</f>
        <v>0</v>
      </c>
      <c r="G27" s="276" t="str">
        <f t="shared" si="0"/>
        <v/>
      </c>
    </row>
    <row r="28" spans="1:7" ht="12.75" customHeight="1" x14ac:dyDescent="0.25">
      <c r="A28" s="558" t="s">
        <v>1096</v>
      </c>
      <c r="B28" s="233"/>
      <c r="C28" s="74">
        <f>C8+C16+C22+C25</f>
        <v>0</v>
      </c>
      <c r="D28" s="73">
        <f>D8+D16+D22+D25</f>
        <v>0</v>
      </c>
      <c r="E28" s="73">
        <f>E8+E16+E22+E25</f>
        <v>0</v>
      </c>
      <c r="F28" s="73">
        <f>F8+F16+F22+F25</f>
        <v>0</v>
      </c>
      <c r="G28" s="909" t="str">
        <f t="shared" si="0"/>
        <v/>
      </c>
    </row>
    <row r="29" spans="1:7" ht="5.0999999999999996" customHeight="1" x14ac:dyDescent="0.25">
      <c r="A29" s="42"/>
      <c r="B29" s="169"/>
      <c r="C29" s="46"/>
      <c r="D29" s="44"/>
      <c r="E29" s="44"/>
      <c r="F29" s="44"/>
      <c r="G29" s="276" t="str">
        <f t="shared" si="0"/>
        <v/>
      </c>
    </row>
    <row r="30" spans="1:7" ht="12.75" customHeight="1" x14ac:dyDescent="0.25">
      <c r="A30" s="549" t="s">
        <v>1097</v>
      </c>
      <c r="B30" s="169"/>
      <c r="C30" s="46"/>
      <c r="D30" s="44"/>
      <c r="E30" s="44"/>
      <c r="F30" s="44"/>
      <c r="G30" s="276" t="str">
        <f t="shared" si="0"/>
        <v/>
      </c>
    </row>
    <row r="31" spans="1:7" ht="13.5" customHeight="1" x14ac:dyDescent="0.25">
      <c r="A31" s="342" t="str">
        <f>'SC6'!A36</f>
        <v>National Government:</v>
      </c>
      <c r="B31" s="169"/>
      <c r="C31" s="46">
        <f>SUM(C32:C37)</f>
        <v>0</v>
      </c>
      <c r="D31" s="44">
        <f>SUM(D32:D37)</f>
        <v>0</v>
      </c>
      <c r="E31" s="44">
        <f>SUM(E32:E37)</f>
        <v>0</v>
      </c>
      <c r="F31" s="44">
        <f>SUM(F32:F37)</f>
        <v>0</v>
      </c>
      <c r="G31" s="906" t="str">
        <f t="shared" si="0"/>
        <v/>
      </c>
    </row>
    <row r="32" spans="1:7" ht="12.75" customHeight="1" x14ac:dyDescent="0.25">
      <c r="A32" s="396" t="str">
        <f>'SC6'!A37</f>
        <v xml:space="preserve"> Municipal Infrastructure Grant (MIG)</v>
      </c>
      <c r="B32" s="169"/>
      <c r="C32" s="780"/>
      <c r="D32" s="734"/>
      <c r="E32" s="734"/>
      <c r="F32" s="514">
        <f t="shared" ref="F32:F37" si="2">C32-E32</f>
        <v>0</v>
      </c>
      <c r="G32" s="907" t="str">
        <f t="shared" si="0"/>
        <v/>
      </c>
    </row>
    <row r="33" spans="1:7" ht="12.75" customHeight="1" x14ac:dyDescent="0.25">
      <c r="A33" s="396"/>
      <c r="B33" s="169"/>
      <c r="C33" s="745"/>
      <c r="D33" s="733"/>
      <c r="E33" s="733"/>
      <c r="F33" s="44">
        <f t="shared" si="2"/>
        <v>0</v>
      </c>
      <c r="G33" s="276" t="str">
        <f t="shared" si="0"/>
        <v/>
      </c>
    </row>
    <row r="34" spans="1:7" ht="12.75" customHeight="1" x14ac:dyDescent="0.25">
      <c r="A34" s="396"/>
      <c r="B34" s="169"/>
      <c r="C34" s="745"/>
      <c r="D34" s="733"/>
      <c r="E34" s="733"/>
      <c r="F34" s="44">
        <f t="shared" si="2"/>
        <v>0</v>
      </c>
      <c r="G34" s="276" t="str">
        <f t="shared" si="0"/>
        <v/>
      </c>
    </row>
    <row r="35" spans="1:7" ht="12.75" customHeight="1" x14ac:dyDescent="0.25">
      <c r="A35" s="396"/>
      <c r="B35" s="169"/>
      <c r="C35" s="745"/>
      <c r="D35" s="733"/>
      <c r="E35" s="733"/>
      <c r="F35" s="44">
        <f t="shared" si="2"/>
        <v>0</v>
      </c>
      <c r="G35" s="276" t="str">
        <f t="shared" si="0"/>
        <v/>
      </c>
    </row>
    <row r="36" spans="1:7" ht="12.75" customHeight="1" x14ac:dyDescent="0.25">
      <c r="A36" s="396"/>
      <c r="B36" s="169"/>
      <c r="C36" s="745"/>
      <c r="D36" s="733"/>
      <c r="E36" s="733"/>
      <c r="F36" s="44">
        <f t="shared" si="2"/>
        <v>0</v>
      </c>
      <c r="G36" s="276" t="str">
        <f t="shared" si="0"/>
        <v/>
      </c>
    </row>
    <row r="37" spans="1:7" ht="12.75" customHeight="1" x14ac:dyDescent="0.25">
      <c r="A37" s="396" t="str">
        <f>'SC6'!A44</f>
        <v>Energy Efficiency and Demand Manaagement</v>
      </c>
      <c r="B37" s="169"/>
      <c r="C37" s="745"/>
      <c r="D37" s="733"/>
      <c r="E37" s="733"/>
      <c r="F37" s="44">
        <f t="shared" si="2"/>
        <v>0</v>
      </c>
      <c r="G37" s="276" t="str">
        <f t="shared" si="0"/>
        <v/>
      </c>
    </row>
    <row r="38" spans="1:7" ht="12.75" customHeight="1" x14ac:dyDescent="0.25">
      <c r="A38" s="397" t="str">
        <f>'SC6'!A45</f>
        <v>Provincial Government:</v>
      </c>
      <c r="B38" s="169"/>
      <c r="C38" s="475">
        <f>SUM(C39:C40)</f>
        <v>0</v>
      </c>
      <c r="D38" s="430">
        <f>SUM(D39:D40)</f>
        <v>0</v>
      </c>
      <c r="E38" s="430">
        <f>SUM(E39:E40)</f>
        <v>0</v>
      </c>
      <c r="F38" s="514">
        <f>SUM(F39:F40)</f>
        <v>0</v>
      </c>
      <c r="G38" s="907" t="str">
        <f t="shared" si="0"/>
        <v/>
      </c>
    </row>
    <row r="39" spans="1:7" ht="12.75" customHeight="1" x14ac:dyDescent="0.25">
      <c r="A39" s="397"/>
      <c r="B39" s="169"/>
      <c r="C39" s="784"/>
      <c r="D39" s="737"/>
      <c r="E39" s="737"/>
      <c r="F39" s="514">
        <f>C39-E39</f>
        <v>0</v>
      </c>
      <c r="G39" s="907" t="str">
        <f t="shared" si="0"/>
        <v/>
      </c>
    </row>
    <row r="40" spans="1:7" ht="12.75" customHeight="1" x14ac:dyDescent="0.25">
      <c r="A40" s="396" t="str">
        <f>'SC6'!A56</f>
        <v xml:space="preserve">Arts and Culture-Museum Subsidies - Tatham Art Gallery </v>
      </c>
      <c r="B40" s="169"/>
      <c r="C40" s="745"/>
      <c r="D40" s="733"/>
      <c r="E40" s="733"/>
      <c r="F40" s="44">
        <f>C40-E40</f>
        <v>0</v>
      </c>
      <c r="G40" s="276" t="str">
        <f t="shared" si="0"/>
        <v/>
      </c>
    </row>
    <row r="41" spans="1:7" ht="12.75" customHeight="1" x14ac:dyDescent="0.25">
      <c r="A41" s="397" t="str">
        <f>'SC6'!A57</f>
        <v>District Municipality:</v>
      </c>
      <c r="B41" s="169"/>
      <c r="C41" s="475">
        <f>SUM(C42:C43)</f>
        <v>0</v>
      </c>
      <c r="D41" s="430">
        <f>SUM(D42:D43)</f>
        <v>0</v>
      </c>
      <c r="E41" s="430">
        <f>SUM(E42:E43)</f>
        <v>0</v>
      </c>
      <c r="F41" s="514">
        <f>SUM(F42:F43)</f>
        <v>0</v>
      </c>
      <c r="G41" s="907" t="str">
        <f t="shared" si="0"/>
        <v/>
      </c>
    </row>
    <row r="42" spans="1:7" ht="12.75" customHeight="1" x14ac:dyDescent="0.25">
      <c r="A42" s="397"/>
      <c r="B42" s="169"/>
      <c r="C42" s="784"/>
      <c r="D42" s="737"/>
      <c r="E42" s="737"/>
      <c r="F42" s="514">
        <f>C42-E42</f>
        <v>0</v>
      </c>
      <c r="G42" s="907" t="str">
        <f t="shared" si="0"/>
        <v/>
      </c>
    </row>
    <row r="43" spans="1:7" ht="12.75" customHeight="1" x14ac:dyDescent="0.25">
      <c r="A43" s="398" t="e">
        <f>'SC6'!#REF!</f>
        <v>#REF!</v>
      </c>
      <c r="B43" s="169"/>
      <c r="C43" s="745"/>
      <c r="D43" s="733"/>
      <c r="E43" s="733"/>
      <c r="F43" s="44">
        <f>C43-E43</f>
        <v>0</v>
      </c>
      <c r="G43" s="276" t="str">
        <f t="shared" si="0"/>
        <v/>
      </c>
    </row>
    <row r="44" spans="1:7" ht="12.75" customHeight="1" x14ac:dyDescent="0.25">
      <c r="A44" s="397" t="str">
        <f>'SC6'!A59</f>
        <v>Other grant providers:</v>
      </c>
      <c r="B44" s="169"/>
      <c r="C44" s="475">
        <f>SUM(C45:C46)</f>
        <v>0</v>
      </c>
      <c r="D44" s="430">
        <f>SUM(D45:D46)</f>
        <v>0</v>
      </c>
      <c r="E44" s="430">
        <f>SUM(E45:E46)</f>
        <v>0</v>
      </c>
      <c r="F44" s="514">
        <f>SUM(F45:F46)</f>
        <v>0</v>
      </c>
      <c r="G44" s="907" t="str">
        <f t="shared" si="0"/>
        <v/>
      </c>
    </row>
    <row r="45" spans="1:7" ht="12.75" customHeight="1" x14ac:dyDescent="0.25">
      <c r="A45" s="397"/>
      <c r="B45" s="169"/>
      <c r="C45" s="784"/>
      <c r="D45" s="737"/>
      <c r="E45" s="737"/>
      <c r="F45" s="514">
        <f>C45-E45</f>
        <v>0</v>
      </c>
      <c r="G45" s="907" t="str">
        <f t="shared" si="0"/>
        <v/>
      </c>
    </row>
    <row r="46" spans="1:7" ht="12.75" customHeight="1" x14ac:dyDescent="0.25">
      <c r="A46" s="398" t="e">
        <f>'SC6'!#REF!</f>
        <v>#REF!</v>
      </c>
      <c r="B46" s="169"/>
      <c r="C46" s="745"/>
      <c r="D46" s="733"/>
      <c r="E46" s="733"/>
      <c r="F46" s="44">
        <f>C46-E46</f>
        <v>0</v>
      </c>
      <c r="G46" s="276" t="str">
        <f t="shared" si="0"/>
        <v/>
      </c>
    </row>
    <row r="47" spans="1:7" ht="12.75" customHeight="1" x14ac:dyDescent="0.25">
      <c r="A47" s="557" t="s">
        <v>1098</v>
      </c>
      <c r="B47" s="233"/>
      <c r="C47" s="74">
        <f>C31+C38+C41+C44</f>
        <v>0</v>
      </c>
      <c r="D47" s="73">
        <f>D31+D38+D41+D44</f>
        <v>0</v>
      </c>
      <c r="E47" s="73">
        <f>E31+E38+E41+E44</f>
        <v>0</v>
      </c>
      <c r="F47" s="73">
        <f>F31+F38+F41+F44</f>
        <v>0</v>
      </c>
      <c r="G47" s="909" t="str">
        <f t="shared" si="0"/>
        <v/>
      </c>
    </row>
    <row r="48" spans="1:7" ht="5.0999999999999996" customHeight="1" x14ac:dyDescent="0.25">
      <c r="A48" s="548"/>
      <c r="B48" s="169"/>
      <c r="C48" s="46"/>
      <c r="D48" s="44"/>
      <c r="E48" s="44"/>
      <c r="F48" s="44"/>
      <c r="G48" s="276"/>
    </row>
    <row r="49" spans="1:7" ht="12.75" customHeight="1" x14ac:dyDescent="0.25">
      <c r="A49" s="687" t="s">
        <v>1099</v>
      </c>
      <c r="B49" s="284"/>
      <c r="C49" s="56">
        <f>C28+C47</f>
        <v>0</v>
      </c>
      <c r="D49" s="55">
        <f>D28+D47</f>
        <v>0</v>
      </c>
      <c r="E49" s="55">
        <f>E28+E47</f>
        <v>0</v>
      </c>
      <c r="F49" s="55">
        <f>F28+F47</f>
        <v>0</v>
      </c>
      <c r="G49" s="910" t="str">
        <f t="shared" si="0"/>
        <v/>
      </c>
    </row>
    <row r="50" spans="1:7" ht="12.75" customHeight="1" x14ac:dyDescent="0.25">
      <c r="A50" s="57" t="str">
        <f>head27a</f>
        <v>References</v>
      </c>
      <c r="B50" s="58"/>
      <c r="C50" s="62"/>
      <c r="D50" s="62"/>
      <c r="E50" s="62"/>
      <c r="F50" s="62"/>
      <c r="G50" s="62"/>
    </row>
    <row r="51" spans="1:7" ht="12.75" customHeight="1" x14ac:dyDescent="0.25">
      <c r="A51" s="80"/>
      <c r="B51" s="58"/>
      <c r="C51" s="67"/>
      <c r="D51" s="67"/>
      <c r="E51" s="67"/>
      <c r="F51" s="67"/>
      <c r="G51" s="67"/>
    </row>
    <row r="52" spans="1:7" ht="11.25" customHeight="1" x14ac:dyDescent="0.25"/>
    <row r="53" spans="1:7" ht="11.25" customHeight="1" x14ac:dyDescent="0.25"/>
    <row r="54" spans="1:7" ht="11.25" customHeight="1" x14ac:dyDescent="0.25"/>
    <row r="55" spans="1:7" ht="11.25" customHeight="1" x14ac:dyDescent="0.25"/>
    <row r="56" spans="1:7" ht="11.25" customHeight="1" x14ac:dyDescent="0.25"/>
    <row r="57" spans="1:7" ht="11.25" customHeight="1" x14ac:dyDescent="0.25"/>
    <row r="58" spans="1:7" ht="11.25" customHeight="1" x14ac:dyDescent="0.25"/>
    <row r="59" spans="1:7" ht="11.25" customHeight="1" x14ac:dyDescent="0.25"/>
    <row r="60" spans="1:7" ht="11.25" customHeight="1" x14ac:dyDescent="0.25"/>
    <row r="61" spans="1:7" ht="11.25" customHeight="1" x14ac:dyDescent="0.25"/>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mergeCells count="4">
    <mergeCell ref="A1:G1"/>
    <mergeCell ref="A2:A3"/>
    <mergeCell ref="B2:B3"/>
    <mergeCell ref="C2:G2"/>
  </mergeCells>
  <printOptions horizontalCentered="1"/>
  <pageMargins left="0.35" right="0.14000000000000001" top="0.77" bottom="0.6" header="0.51181102362204722" footer="0.51"/>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indexed="42"/>
    <pageSetUpPr fitToPage="1"/>
  </sheetPr>
  <dimension ref="A1:N195"/>
  <sheetViews>
    <sheetView showGridLines="0" zoomScaleNormal="100" workbookViewId="0">
      <pane xSplit="2" ySplit="4" topLeftCell="C95" activePane="bottomRight" state="frozen"/>
      <selection pane="topRight"/>
      <selection pane="bottomLeft"/>
      <selection pane="bottomRight" activeCell="N60" sqref="N60"/>
    </sheetView>
  </sheetViews>
  <sheetFormatPr defaultColWidth="9.140625" defaultRowHeight="12.75" x14ac:dyDescent="0.25"/>
  <cols>
    <col min="1" max="1" width="38.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3" t="str">
        <f>muni&amp; " - "&amp;S71N&amp; " - "&amp;Head57</f>
        <v>KZN225 Msunduzi - Supporting Table SC8 Monthly Budget Statement - councillor and staff benefits  - Mid-Year Assessment</v>
      </c>
      <c r="B1" s="1053"/>
      <c r="C1" s="1053"/>
      <c r="D1" s="1053"/>
      <c r="E1" s="1053"/>
      <c r="F1" s="1053"/>
      <c r="G1" s="1053"/>
      <c r="H1" s="1053"/>
      <c r="I1" s="1053"/>
      <c r="J1" s="1053"/>
      <c r="K1" s="1053"/>
    </row>
    <row r="2" spans="1:11" x14ac:dyDescent="0.25">
      <c r="A2" s="1042" t="s">
        <v>650</v>
      </c>
      <c r="B2" s="1035" t="str">
        <f>head27</f>
        <v>Ref</v>
      </c>
      <c r="C2" s="139" t="str">
        <f>Head1</f>
        <v>2019/20</v>
      </c>
      <c r="D2" s="245" t="str">
        <f>Head2</f>
        <v>Budget Year 2020/21</v>
      </c>
      <c r="E2" s="229"/>
      <c r="F2" s="229"/>
      <c r="G2" s="229"/>
      <c r="H2" s="229"/>
      <c r="I2" s="229"/>
      <c r="J2" s="229"/>
      <c r="K2" s="230"/>
    </row>
    <row r="3" spans="1:11" ht="25.5" x14ac:dyDescent="0.25">
      <c r="A3" s="1043"/>
      <c r="B3" s="1046"/>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3"/>
      <c r="E4" s="294"/>
      <c r="F4" s="295"/>
      <c r="G4" s="295"/>
      <c r="H4" s="295"/>
      <c r="I4" s="295"/>
      <c r="J4" s="296" t="s">
        <v>575</v>
      </c>
      <c r="K4" s="297"/>
    </row>
    <row r="5" spans="1:11" ht="12.75" customHeight="1" x14ac:dyDescent="0.25">
      <c r="A5" s="559"/>
      <c r="B5" s="236">
        <v>1</v>
      </c>
      <c r="C5" s="560" t="s">
        <v>579</v>
      </c>
      <c r="D5" s="561" t="s">
        <v>537</v>
      </c>
      <c r="E5" s="562" t="s">
        <v>476</v>
      </c>
      <c r="F5" s="563"/>
      <c r="G5" s="563"/>
      <c r="H5" s="563"/>
      <c r="I5" s="563"/>
      <c r="J5" s="563"/>
      <c r="K5" s="564" t="s">
        <v>606</v>
      </c>
    </row>
    <row r="6" spans="1:11" ht="12.75" customHeight="1" x14ac:dyDescent="0.25">
      <c r="A6" s="566" t="s">
        <v>426</v>
      </c>
      <c r="B6" s="169"/>
      <c r="C6" s="40"/>
      <c r="D6" s="104"/>
      <c r="E6" s="103"/>
      <c r="F6" s="103"/>
      <c r="G6" s="103"/>
      <c r="H6" s="103"/>
      <c r="I6" s="103"/>
      <c r="J6" s="103"/>
      <c r="K6" s="266"/>
    </row>
    <row r="7" spans="1:11" ht="12.75" customHeight="1" x14ac:dyDescent="0.25">
      <c r="A7" s="518" t="s">
        <v>490</v>
      </c>
      <c r="B7" s="169"/>
      <c r="C7" s="748"/>
      <c r="D7" s="745">
        <v>15792288.894999994</v>
      </c>
      <c r="E7" s="733">
        <v>15792288.894999994</v>
      </c>
      <c r="F7" s="733">
        <v>2780999.01</v>
      </c>
      <c r="G7" s="733">
        <v>16359009.749999998</v>
      </c>
      <c r="H7" s="733">
        <f>E7/12*6</f>
        <v>7896144.4474999961</v>
      </c>
      <c r="I7" s="44">
        <f t="shared" ref="I7:I14" si="0">G7-H7</f>
        <v>8462865.3025000021</v>
      </c>
      <c r="J7" s="330">
        <f t="shared" ref="J7:J14" si="1">IF(I7=0,"",I7/H7)</f>
        <v>1.0717718449514226</v>
      </c>
      <c r="K7" s="735">
        <f>E7</f>
        <v>15792288.894999994</v>
      </c>
    </row>
    <row r="8" spans="1:11" ht="12.75" customHeight="1" x14ac:dyDescent="0.25">
      <c r="A8" s="518" t="s">
        <v>1048</v>
      </c>
      <c r="B8" s="169"/>
      <c r="C8" s="748"/>
      <c r="D8" s="745">
        <v>6273530.0123999976</v>
      </c>
      <c r="E8" s="733">
        <v>6273530.0123999976</v>
      </c>
      <c r="F8" s="733">
        <v>349649.73</v>
      </c>
      <c r="G8" s="733">
        <v>2419349.2399999998</v>
      </c>
      <c r="H8" s="733">
        <f t="shared" ref="H8:H12" si="2">E8/12*6</f>
        <v>3136765.0061999988</v>
      </c>
      <c r="I8" s="44">
        <f t="shared" si="0"/>
        <v>-717415.76619999902</v>
      </c>
      <c r="J8" s="330">
        <f t="shared" si="1"/>
        <v>-0.22871198983091975</v>
      </c>
      <c r="K8" s="735">
        <f t="shared" ref="K8:K12" si="3">E8</f>
        <v>6273530.0123999976</v>
      </c>
    </row>
    <row r="9" spans="1:11" ht="12.75" customHeight="1" x14ac:dyDescent="0.25">
      <c r="A9" s="518" t="s">
        <v>427</v>
      </c>
      <c r="B9" s="169"/>
      <c r="C9" s="748"/>
      <c r="D9" s="745">
        <v>10528192.964839995</v>
      </c>
      <c r="E9" s="733">
        <v>10528192.964839995</v>
      </c>
      <c r="F9" s="733">
        <v>157168.07</v>
      </c>
      <c r="G9" s="733">
        <v>956329.30999999994</v>
      </c>
      <c r="H9" s="733">
        <f t="shared" si="2"/>
        <v>5264096.4824199975</v>
      </c>
      <c r="I9" s="44">
        <f t="shared" si="0"/>
        <v>-4307767.1724199979</v>
      </c>
      <c r="J9" s="330">
        <f t="shared" si="1"/>
        <v>-0.81832982864319415</v>
      </c>
      <c r="K9" s="735">
        <f t="shared" si="3"/>
        <v>10528192.964839995</v>
      </c>
    </row>
    <row r="10" spans="1:11" ht="12.75" customHeight="1" x14ac:dyDescent="0.25">
      <c r="A10" s="518" t="s">
        <v>1049</v>
      </c>
      <c r="B10" s="169"/>
      <c r="C10" s="748"/>
      <c r="D10" s="745">
        <v>10528194.069359997</v>
      </c>
      <c r="E10" s="733">
        <v>10528194.069359997</v>
      </c>
      <c r="F10" s="733">
        <v>497177.37999999995</v>
      </c>
      <c r="G10" s="733">
        <v>3371001.46</v>
      </c>
      <c r="H10" s="733">
        <f t="shared" si="2"/>
        <v>5264097.0346799986</v>
      </c>
      <c r="I10" s="44">
        <f>G10-H10</f>
        <v>-1893095.5746799987</v>
      </c>
      <c r="J10" s="330">
        <f>IF(I10=0,"",I10/H10)</f>
        <v>-0.35962398911118837</v>
      </c>
      <c r="K10" s="735">
        <f t="shared" si="3"/>
        <v>10528194.069359997</v>
      </c>
    </row>
    <row r="11" spans="1:11" ht="12.75" customHeight="1" x14ac:dyDescent="0.25">
      <c r="A11" s="39" t="s">
        <v>1050</v>
      </c>
      <c r="B11" s="169"/>
      <c r="C11" s="748"/>
      <c r="D11" s="745">
        <v>5264098.1391999982</v>
      </c>
      <c r="E11" s="733">
        <v>5264098.1391999982</v>
      </c>
      <c r="F11" s="733">
        <v>224950</v>
      </c>
      <c r="G11" s="733">
        <v>2006078.9100000001</v>
      </c>
      <c r="H11" s="733">
        <f t="shared" si="2"/>
        <v>2632049.0695999991</v>
      </c>
      <c r="I11" s="44">
        <f>G11-H11</f>
        <v>-625970.15959999897</v>
      </c>
      <c r="J11" s="330">
        <f>IF(I11=0,"",I11/H11)</f>
        <v>-0.23782617384680052</v>
      </c>
      <c r="K11" s="735">
        <f t="shared" si="3"/>
        <v>5264098.1391999982</v>
      </c>
    </row>
    <row r="12" spans="1:11" ht="12.75" customHeight="1" x14ac:dyDescent="0.25">
      <c r="A12" s="39" t="s">
        <v>1051</v>
      </c>
      <c r="B12" s="169"/>
      <c r="C12" s="748"/>
      <c r="D12" s="745">
        <v>5264097.0346799986</v>
      </c>
      <c r="E12" s="733">
        <v>5264097.0346799986</v>
      </c>
      <c r="F12" s="733">
        <v>11074.34</v>
      </c>
      <c r="G12" s="733">
        <v>66446.039999999994</v>
      </c>
      <c r="H12" s="733">
        <f t="shared" si="2"/>
        <v>2632048.5173399993</v>
      </c>
      <c r="I12" s="44">
        <f>G12-H12</f>
        <v>-2565602.4773399993</v>
      </c>
      <c r="J12" s="330">
        <f>IF(I12=0,"",I12/H12)</f>
        <v>-0.9747550094300117</v>
      </c>
      <c r="K12" s="735">
        <f t="shared" si="3"/>
        <v>5264097.0346799986</v>
      </c>
    </row>
    <row r="13" spans="1:11" ht="12.75" customHeight="1" x14ac:dyDescent="0.25">
      <c r="A13" s="39" t="s">
        <v>1052</v>
      </c>
      <c r="B13" s="169"/>
      <c r="C13" s="748"/>
      <c r="D13" s="745"/>
      <c r="E13" s="733"/>
      <c r="F13" s="733">
        <v>7336.37</v>
      </c>
      <c r="G13" s="733">
        <v>476271.42000000004</v>
      </c>
      <c r="H13" s="733"/>
      <c r="I13" s="44">
        <f t="shared" si="0"/>
        <v>476271.42000000004</v>
      </c>
      <c r="J13" s="330" t="e">
        <f t="shared" si="1"/>
        <v>#DIV/0!</v>
      </c>
      <c r="K13" s="735"/>
    </row>
    <row r="14" spans="1:11" ht="12.75" customHeight="1" x14ac:dyDescent="0.25">
      <c r="A14" s="87" t="s">
        <v>428</v>
      </c>
      <c r="B14" s="169"/>
      <c r="C14" s="516">
        <f t="shared" ref="C14:K14" si="4">SUM(C7:C13)</f>
        <v>0</v>
      </c>
      <c r="D14" s="475">
        <f t="shared" si="4"/>
        <v>53650401.115479983</v>
      </c>
      <c r="E14" s="430">
        <f t="shared" si="4"/>
        <v>53650401.115479983</v>
      </c>
      <c r="F14" s="430">
        <f t="shared" si="4"/>
        <v>4028354.8999999994</v>
      </c>
      <c r="G14" s="430">
        <f t="shared" si="4"/>
        <v>25654486.129999999</v>
      </c>
      <c r="H14" s="430">
        <f t="shared" si="4"/>
        <v>26825200.557739992</v>
      </c>
      <c r="I14" s="430">
        <f t="shared" si="0"/>
        <v>-1170714.4277399927</v>
      </c>
      <c r="J14" s="431">
        <f t="shared" si="1"/>
        <v>-4.3642336437339384E-2</v>
      </c>
      <c r="K14" s="513">
        <f t="shared" si="4"/>
        <v>53650401.115479983</v>
      </c>
    </row>
    <row r="15" spans="1:11" ht="12.75" customHeight="1" x14ac:dyDescent="0.25">
      <c r="A15" s="565" t="s">
        <v>722</v>
      </c>
      <c r="B15" s="169">
        <v>4</v>
      </c>
      <c r="C15" s="173"/>
      <c r="D15" s="303" t="e">
        <f>IF(D14=0,"",(D14/C14)-1)</f>
        <v>#DIV/0!</v>
      </c>
      <c r="E15" s="303" t="e">
        <f>IF(E14=0,"",(E14/C14)-1)</f>
        <v>#DIV/0!</v>
      </c>
      <c r="F15" s="303"/>
      <c r="G15" s="303"/>
      <c r="H15" s="303"/>
      <c r="I15" s="303"/>
      <c r="J15" s="344"/>
      <c r="K15" s="312" t="e">
        <f>IF(K14=0,"",(K14/C14)-1)</f>
        <v>#DIV/0!</v>
      </c>
    </row>
    <row r="16" spans="1:11" ht="5.0999999999999996" customHeight="1" x14ac:dyDescent="0.25">
      <c r="A16" s="42"/>
      <c r="B16" s="169"/>
      <c r="C16" s="40"/>
      <c r="D16" s="104"/>
      <c r="E16" s="103"/>
      <c r="F16" s="103"/>
      <c r="G16" s="103"/>
      <c r="H16" s="103"/>
      <c r="I16" s="103"/>
      <c r="J16" s="330"/>
      <c r="K16" s="266"/>
    </row>
    <row r="17" spans="1:11" ht="12.75" customHeight="1" x14ac:dyDescent="0.25">
      <c r="A17" s="566" t="s">
        <v>511</v>
      </c>
      <c r="B17" s="169">
        <v>3</v>
      </c>
      <c r="C17" s="40"/>
      <c r="D17" s="104"/>
      <c r="E17" s="103"/>
      <c r="F17" s="103"/>
      <c r="G17" s="103"/>
      <c r="H17" s="103"/>
      <c r="I17" s="103"/>
      <c r="J17" s="330"/>
      <c r="K17" s="266"/>
    </row>
    <row r="18" spans="1:11" ht="12.75" customHeight="1" x14ac:dyDescent="0.25">
      <c r="A18" s="39" t="s">
        <v>490</v>
      </c>
      <c r="B18" s="169"/>
      <c r="C18" s="748"/>
      <c r="D18" s="745">
        <v>10640389.780800002</v>
      </c>
      <c r="E18" s="733">
        <v>10640389.780800002</v>
      </c>
      <c r="F18" s="733">
        <v>725380.29999999993</v>
      </c>
      <c r="G18" s="733">
        <v>3933901.8400000003</v>
      </c>
      <c r="H18" s="733">
        <f t="shared" ref="H18:H20" si="5">E18/12*6</f>
        <v>5320194.8904000008</v>
      </c>
      <c r="I18" s="44">
        <f t="shared" ref="I18:I30" si="6">G18-H18</f>
        <v>-1386293.0504000005</v>
      </c>
      <c r="J18" s="330">
        <f t="shared" ref="J18:J29" si="7">IF(I18=0,"",I18/H18)</f>
        <v>-0.26057185478326933</v>
      </c>
      <c r="K18" s="735">
        <f t="shared" ref="K18:K25" si="8">E18</f>
        <v>10640389.780800002</v>
      </c>
    </row>
    <row r="19" spans="1:11" ht="12.75" customHeight="1" x14ac:dyDescent="0.25">
      <c r="A19" s="39" t="s">
        <v>1048</v>
      </c>
      <c r="B19" s="169"/>
      <c r="C19" s="748"/>
      <c r="D19" s="745">
        <v>1458021.1247999999</v>
      </c>
      <c r="E19" s="733">
        <v>1458021.1247999999</v>
      </c>
      <c r="F19" s="733">
        <v>68864.959999999992</v>
      </c>
      <c r="G19" s="733">
        <v>423929.89000000007</v>
      </c>
      <c r="H19" s="733">
        <f t="shared" si="5"/>
        <v>729010.56239999994</v>
      </c>
      <c r="I19" s="44">
        <f t="shared" si="6"/>
        <v>-305080.67239999986</v>
      </c>
      <c r="J19" s="330">
        <f t="shared" si="7"/>
        <v>-0.41848594263934069</v>
      </c>
      <c r="K19" s="735">
        <f t="shared" si="8"/>
        <v>1458021.1247999999</v>
      </c>
    </row>
    <row r="20" spans="1:11" ht="12.75" customHeight="1" x14ac:dyDescent="0.25">
      <c r="A20" s="39" t="s">
        <v>427</v>
      </c>
      <c r="B20" s="169"/>
      <c r="C20" s="748"/>
      <c r="D20" s="745">
        <v>160334.42939999999</v>
      </c>
      <c r="E20" s="733">
        <v>160334.42939999999</v>
      </c>
      <c r="F20" s="733">
        <v>8391.56</v>
      </c>
      <c r="G20" s="733">
        <v>65709.469999999987</v>
      </c>
      <c r="H20" s="733">
        <f t="shared" si="5"/>
        <v>80167.214699999997</v>
      </c>
      <c r="I20" s="44">
        <f t="shared" si="6"/>
        <v>-14457.74470000001</v>
      </c>
      <c r="J20" s="330">
        <f t="shared" si="7"/>
        <v>-0.18034485486496526</v>
      </c>
      <c r="K20" s="735">
        <f t="shared" si="8"/>
        <v>160334.42939999999</v>
      </c>
    </row>
    <row r="21" spans="1:11" ht="12.75" customHeight="1" x14ac:dyDescent="0.25">
      <c r="A21" s="39" t="s">
        <v>539</v>
      </c>
      <c r="B21" s="169"/>
      <c r="C21" s="748"/>
      <c r="D21" s="745">
        <v>0</v>
      </c>
      <c r="E21" s="733"/>
      <c r="F21" s="733"/>
      <c r="G21" s="733"/>
      <c r="H21" s="733"/>
      <c r="I21" s="44">
        <f t="shared" si="6"/>
        <v>0</v>
      </c>
      <c r="J21" s="330" t="str">
        <f t="shared" si="7"/>
        <v/>
      </c>
      <c r="K21" s="735">
        <f t="shared" si="8"/>
        <v>0</v>
      </c>
    </row>
    <row r="22" spans="1:11" ht="12.75" customHeight="1" x14ac:dyDescent="0.25">
      <c r="A22" s="39" t="s">
        <v>429</v>
      </c>
      <c r="B22" s="169"/>
      <c r="C22" s="748"/>
      <c r="D22" s="745">
        <v>665728.85879999993</v>
      </c>
      <c r="E22" s="733">
        <v>665728.85879999993</v>
      </c>
      <c r="F22" s="733">
        <v>165117.69</v>
      </c>
      <c r="G22" s="733">
        <v>346995.77</v>
      </c>
      <c r="H22" s="733">
        <f t="shared" ref="H22:H25" si="9">E22/12*6</f>
        <v>332864.42939999996</v>
      </c>
      <c r="I22" s="44">
        <f>G22-H22</f>
        <v>14131.340600000054</v>
      </c>
      <c r="J22" s="330">
        <f>IF(I22=0,"",I22/H22)</f>
        <v>4.2453741979797302E-2</v>
      </c>
      <c r="K22" s="735">
        <f t="shared" si="8"/>
        <v>665728.85879999993</v>
      </c>
    </row>
    <row r="23" spans="1:11" ht="12.75" customHeight="1" x14ac:dyDescent="0.25">
      <c r="A23" s="39" t="s">
        <v>1049</v>
      </c>
      <c r="B23" s="169"/>
      <c r="C23" s="748"/>
      <c r="D23" s="745">
        <v>1278372.5370000002</v>
      </c>
      <c r="E23" s="733">
        <v>1278372.5370000002</v>
      </c>
      <c r="F23" s="733">
        <v>67003.3</v>
      </c>
      <c r="G23" s="733">
        <v>445822.51</v>
      </c>
      <c r="H23" s="733">
        <f t="shared" si="9"/>
        <v>639186.26850000012</v>
      </c>
      <c r="I23" s="44">
        <f>G23-H23</f>
        <v>-193363.75850000011</v>
      </c>
      <c r="J23" s="330">
        <f>IF(I23=0,"",I23/H23)</f>
        <v>-0.30251550765283702</v>
      </c>
      <c r="K23" s="735">
        <f t="shared" si="8"/>
        <v>1278372.5370000002</v>
      </c>
    </row>
    <row r="24" spans="1:11" ht="12.75" customHeight="1" x14ac:dyDescent="0.25">
      <c r="A24" s="39" t="s">
        <v>1050</v>
      </c>
      <c r="B24" s="169"/>
      <c r="C24" s="748"/>
      <c r="D24" s="745">
        <v>111150.72719999999</v>
      </c>
      <c r="E24" s="733">
        <v>111150.72719999999</v>
      </c>
      <c r="F24" s="733">
        <v>6950</v>
      </c>
      <c r="G24" s="733">
        <v>41700</v>
      </c>
      <c r="H24" s="733">
        <f t="shared" si="9"/>
        <v>55575.363599999997</v>
      </c>
      <c r="I24" s="44">
        <f>G24-H24</f>
        <v>-13875.363599999997</v>
      </c>
      <c r="J24" s="330">
        <f>IF(I24=0,"",I24/H24)</f>
        <v>-0.24966752714146881</v>
      </c>
      <c r="K24" s="735">
        <f t="shared" si="8"/>
        <v>111150.72719999999</v>
      </c>
    </row>
    <row r="25" spans="1:11" ht="12.75" customHeight="1" x14ac:dyDescent="0.25">
      <c r="A25" s="39" t="s">
        <v>1051</v>
      </c>
      <c r="B25" s="169"/>
      <c r="C25" s="748"/>
      <c r="D25" s="745">
        <v>756254.19959999993</v>
      </c>
      <c r="E25" s="733">
        <v>756254.19959999993</v>
      </c>
      <c r="F25" s="733">
        <v>1929.02</v>
      </c>
      <c r="G25" s="733">
        <v>11574.12</v>
      </c>
      <c r="H25" s="733">
        <f t="shared" si="9"/>
        <v>378127.09979999997</v>
      </c>
      <c r="I25" s="44">
        <f>G25-H25</f>
        <v>-366552.97979999997</v>
      </c>
      <c r="J25" s="330">
        <f>IF(I25=0,"",I25/H25)</f>
        <v>-0.96939092700279406</v>
      </c>
      <c r="K25" s="735">
        <f t="shared" si="8"/>
        <v>756254.19959999993</v>
      </c>
    </row>
    <row r="26" spans="1:11" ht="12.75" customHeight="1" x14ac:dyDescent="0.25">
      <c r="A26" s="39" t="s">
        <v>1052</v>
      </c>
      <c r="B26" s="169"/>
      <c r="C26" s="748"/>
      <c r="D26" s="745"/>
      <c r="E26" s="733"/>
      <c r="F26" s="733"/>
      <c r="G26" s="733"/>
      <c r="H26" s="733"/>
      <c r="I26" s="44">
        <f t="shared" si="6"/>
        <v>0</v>
      </c>
      <c r="J26" s="330" t="str">
        <f t="shared" si="7"/>
        <v/>
      </c>
      <c r="K26" s="735"/>
    </row>
    <row r="27" spans="1:11" ht="12.75" customHeight="1" x14ac:dyDescent="0.25">
      <c r="A27" s="39" t="s">
        <v>1053</v>
      </c>
      <c r="B27" s="169"/>
      <c r="C27" s="748"/>
      <c r="D27" s="745"/>
      <c r="E27" s="733"/>
      <c r="F27" s="733"/>
      <c r="G27" s="733"/>
      <c r="H27" s="733"/>
      <c r="I27" s="44">
        <f t="shared" si="6"/>
        <v>0</v>
      </c>
      <c r="J27" s="330" t="str">
        <f t="shared" si="7"/>
        <v/>
      </c>
      <c r="K27" s="735"/>
    </row>
    <row r="28" spans="1:11" ht="12.75" customHeight="1" x14ac:dyDescent="0.25">
      <c r="A28" s="39" t="s">
        <v>1054</v>
      </c>
      <c r="B28" s="169"/>
      <c r="C28" s="748"/>
      <c r="D28" s="745"/>
      <c r="E28" s="733"/>
      <c r="F28" s="733"/>
      <c r="G28" s="733"/>
      <c r="H28" s="733"/>
      <c r="I28" s="44">
        <f t="shared" si="6"/>
        <v>0</v>
      </c>
      <c r="J28" s="330" t="str">
        <f t="shared" si="7"/>
        <v/>
      </c>
      <c r="K28" s="735"/>
    </row>
    <row r="29" spans="1:11" ht="12.75" customHeight="1" x14ac:dyDescent="0.25">
      <c r="A29" s="39" t="s">
        <v>1055</v>
      </c>
      <c r="B29" s="169">
        <v>2</v>
      </c>
      <c r="C29" s="748"/>
      <c r="D29" s="745"/>
      <c r="E29" s="733"/>
      <c r="F29" s="733"/>
      <c r="G29" s="733"/>
      <c r="H29" s="733"/>
      <c r="I29" s="44">
        <f t="shared" si="6"/>
        <v>0</v>
      </c>
      <c r="J29" s="330" t="str">
        <f t="shared" si="7"/>
        <v/>
      </c>
      <c r="K29" s="735"/>
    </row>
    <row r="30" spans="1:11" ht="12.75" customHeight="1" x14ac:dyDescent="0.25">
      <c r="A30" s="87" t="s">
        <v>430</v>
      </c>
      <c r="B30" s="169"/>
      <c r="C30" s="516">
        <f t="shared" ref="C30:K30" si="10">SUM(C18:C29)</f>
        <v>0</v>
      </c>
      <c r="D30" s="475">
        <f t="shared" si="10"/>
        <v>15070251.657600002</v>
      </c>
      <c r="E30" s="430">
        <f t="shared" si="10"/>
        <v>15070251.657600002</v>
      </c>
      <c r="F30" s="430">
        <f>SUM(F18:F29)</f>
        <v>1043636.8300000001</v>
      </c>
      <c r="G30" s="430">
        <f>SUM(G18:G29)</f>
        <v>5269633.6000000006</v>
      </c>
      <c r="H30" s="430">
        <f>SUM(H18:H29)</f>
        <v>7535125.8288000012</v>
      </c>
      <c r="I30" s="430">
        <f t="shared" si="6"/>
        <v>-2265492.2288000006</v>
      </c>
      <c r="J30" s="431">
        <f>IF(I30=0,"",I30/H30)</f>
        <v>-0.30065751790647793</v>
      </c>
      <c r="K30" s="513">
        <f t="shared" si="10"/>
        <v>15070251.657600002</v>
      </c>
    </row>
    <row r="31" spans="1:11" ht="12.75" customHeight="1" x14ac:dyDescent="0.25">
      <c r="A31" s="565" t="s">
        <v>722</v>
      </c>
      <c r="B31" s="169">
        <v>4</v>
      </c>
      <c r="C31" s="173"/>
      <c r="D31" s="303" t="e">
        <f>IF(D30=0,"",(D30/C30)-1)</f>
        <v>#DIV/0!</v>
      </c>
      <c r="E31" s="303" t="e">
        <f>IF(E30=0,"",(E30/C30)-1)</f>
        <v>#DIV/0!</v>
      </c>
      <c r="F31" s="303"/>
      <c r="G31" s="303"/>
      <c r="H31" s="303"/>
      <c r="I31" s="303"/>
      <c r="J31" s="344"/>
      <c r="K31" s="312" t="e">
        <f>IF(K30=0,"",(K30/C30)-1)</f>
        <v>#DIV/0!</v>
      </c>
    </row>
    <row r="32" spans="1:11" ht="5.0999999999999996" customHeight="1" x14ac:dyDescent="0.25">
      <c r="A32" s="42"/>
      <c r="B32" s="169"/>
      <c r="C32" s="40"/>
      <c r="D32" s="104"/>
      <c r="E32" s="103"/>
      <c r="F32" s="103"/>
      <c r="G32" s="103"/>
      <c r="H32" s="103"/>
      <c r="I32" s="103"/>
      <c r="J32" s="330"/>
      <c r="K32" s="266"/>
    </row>
    <row r="33" spans="1:11" ht="12.75" customHeight="1" x14ac:dyDescent="0.25">
      <c r="A33" s="566" t="s">
        <v>431</v>
      </c>
      <c r="B33" s="169"/>
      <c r="C33" s="40"/>
      <c r="D33" s="104"/>
      <c r="E33" s="103"/>
      <c r="F33" s="103"/>
      <c r="G33" s="103"/>
      <c r="H33" s="103"/>
      <c r="I33" s="103"/>
      <c r="J33" s="330"/>
      <c r="K33" s="266"/>
    </row>
    <row r="34" spans="1:11" ht="12.75" customHeight="1" x14ac:dyDescent="0.25">
      <c r="A34" s="518" t="s">
        <v>490</v>
      </c>
      <c r="B34" s="169"/>
      <c r="C34" s="748"/>
      <c r="D34" s="745">
        <v>904436295.83980572</v>
      </c>
      <c r="E34" s="733">
        <v>904436295.83980572</v>
      </c>
      <c r="F34" s="733">
        <v>40239428.139999993</v>
      </c>
      <c r="G34" s="733">
        <v>241831139.57999995</v>
      </c>
      <c r="H34" s="733">
        <f t="shared" ref="H34:H44" si="11">E34/12*6</f>
        <v>452218147.91990286</v>
      </c>
      <c r="I34" s="44">
        <f t="shared" ref="I34:I46" si="12">G34-H34</f>
        <v>-210387008.33990291</v>
      </c>
      <c r="J34" s="330">
        <f t="shared" ref="J34:J45" si="13">IF(I34=0,"",I34/H34)</f>
        <v>-0.46523344829842339</v>
      </c>
      <c r="K34" s="735">
        <f t="shared" ref="K34:K42" si="14">E34</f>
        <v>904436295.83980572</v>
      </c>
    </row>
    <row r="35" spans="1:11" ht="12.75" customHeight="1" x14ac:dyDescent="0.25">
      <c r="A35" s="518" t="s">
        <v>1048</v>
      </c>
      <c r="B35" s="169"/>
      <c r="C35" s="748"/>
      <c r="D35" s="745">
        <v>188647083.87682125</v>
      </c>
      <c r="E35" s="733">
        <v>188647083.87682125</v>
      </c>
      <c r="F35" s="733">
        <v>8299645.8599999985</v>
      </c>
      <c r="G35" s="733">
        <v>49968133.50000003</v>
      </c>
      <c r="H35" s="733">
        <f t="shared" si="11"/>
        <v>94323541.938410625</v>
      </c>
      <c r="I35" s="44">
        <f t="shared" si="12"/>
        <v>-44355408.438410595</v>
      </c>
      <c r="J35" s="330">
        <f t="shared" si="13"/>
        <v>-0.47024748569527686</v>
      </c>
      <c r="K35" s="735">
        <f t="shared" si="14"/>
        <v>188647083.87682125</v>
      </c>
    </row>
    <row r="36" spans="1:11" ht="12.75" customHeight="1" x14ac:dyDescent="0.25">
      <c r="A36" s="518" t="s">
        <v>427</v>
      </c>
      <c r="B36" s="169"/>
      <c r="C36" s="748"/>
      <c r="D36" s="745">
        <v>70300830.27188544</v>
      </c>
      <c r="E36" s="733">
        <v>70300830.27188544</v>
      </c>
      <c r="F36" s="733">
        <v>3245867.1700000018</v>
      </c>
      <c r="G36" s="733">
        <v>19521066.179999996</v>
      </c>
      <c r="H36" s="733">
        <f t="shared" si="11"/>
        <v>35150415.13594272</v>
      </c>
      <c r="I36" s="44">
        <f t="shared" si="12"/>
        <v>-15629348.955942724</v>
      </c>
      <c r="J36" s="330">
        <f t="shared" si="13"/>
        <v>-0.4446419450665629</v>
      </c>
      <c r="K36" s="735">
        <f t="shared" si="14"/>
        <v>70300830.27188544</v>
      </c>
    </row>
    <row r="37" spans="1:11" ht="12.75" customHeight="1" x14ac:dyDescent="0.25">
      <c r="A37" s="518" t="s">
        <v>539</v>
      </c>
      <c r="B37" s="169"/>
      <c r="C37" s="748"/>
      <c r="D37" s="745">
        <v>73644368.523901194</v>
      </c>
      <c r="E37" s="733">
        <v>73644368.523901194</v>
      </c>
      <c r="F37" s="733">
        <v>38230489.370000027</v>
      </c>
      <c r="G37" s="733">
        <v>262182793.70000002</v>
      </c>
      <c r="H37" s="733">
        <f t="shared" si="11"/>
        <v>36822184.261950597</v>
      </c>
      <c r="I37" s="44">
        <f t="shared" si="12"/>
        <v>225360609.43804944</v>
      </c>
      <c r="J37" s="330">
        <f t="shared" si="13"/>
        <v>6.1202401203266188</v>
      </c>
      <c r="K37" s="735">
        <f t="shared" si="14"/>
        <v>73644368.523901194</v>
      </c>
    </row>
    <row r="38" spans="1:11" ht="12.75" customHeight="1" x14ac:dyDescent="0.25">
      <c r="A38" s="518" t="s">
        <v>429</v>
      </c>
      <c r="B38" s="169"/>
      <c r="C38" s="748"/>
      <c r="D38" s="745">
        <v>70366153.174669325</v>
      </c>
      <c r="E38" s="733">
        <v>70366153.174669325</v>
      </c>
      <c r="F38" s="733">
        <v>98885.14</v>
      </c>
      <c r="G38" s="733">
        <v>37654914.819999993</v>
      </c>
      <c r="H38" s="733">
        <f t="shared" si="11"/>
        <v>35183076.587334663</v>
      </c>
      <c r="I38" s="44">
        <f t="shared" si="12"/>
        <v>2471838.2326653302</v>
      </c>
      <c r="J38" s="330">
        <f t="shared" si="13"/>
        <v>7.0256454876238758E-2</v>
      </c>
      <c r="K38" s="735">
        <f t="shared" si="14"/>
        <v>70366153.174669325</v>
      </c>
    </row>
    <row r="39" spans="1:11" ht="12.75" customHeight="1" x14ac:dyDescent="0.25">
      <c r="A39" s="518" t="s">
        <v>1049</v>
      </c>
      <c r="B39" s="169"/>
      <c r="C39" s="748"/>
      <c r="D39" s="745">
        <v>24659111.788440011</v>
      </c>
      <c r="E39" s="733">
        <v>24659111.788440011</v>
      </c>
      <c r="F39" s="733">
        <v>1641328.5600000003</v>
      </c>
      <c r="G39" s="733">
        <v>9127553.1099999975</v>
      </c>
      <c r="H39" s="733">
        <f t="shared" si="11"/>
        <v>12329555.894220006</v>
      </c>
      <c r="I39" s="44">
        <f>G39-H39</f>
        <v>-3202002.7842200082</v>
      </c>
      <c r="J39" s="330">
        <f>IF(I39=0,"",I39/H39)</f>
        <v>-0.2597013884110036</v>
      </c>
      <c r="K39" s="735">
        <f t="shared" si="14"/>
        <v>24659111.788440011</v>
      </c>
    </row>
    <row r="40" spans="1:11" ht="12.75" customHeight="1" x14ac:dyDescent="0.25">
      <c r="A40" s="518" t="s">
        <v>1050</v>
      </c>
      <c r="B40" s="169"/>
      <c r="C40" s="748"/>
      <c r="D40" s="745">
        <v>4232876.804076002</v>
      </c>
      <c r="E40" s="733">
        <v>4232876.804076002</v>
      </c>
      <c r="F40" s="733">
        <v>204692.59999999998</v>
      </c>
      <c r="G40" s="733">
        <v>1158900.46</v>
      </c>
      <c r="H40" s="733">
        <f t="shared" si="11"/>
        <v>2116438.402038001</v>
      </c>
      <c r="I40" s="44">
        <f>G40-H40</f>
        <v>-957537.94203800103</v>
      </c>
      <c r="J40" s="330">
        <f>IF(I40=0,"",I40/H40)</f>
        <v>-0.45242892073586949</v>
      </c>
      <c r="K40" s="735">
        <f t="shared" si="14"/>
        <v>4232876.804076002</v>
      </c>
    </row>
    <row r="41" spans="1:11" ht="12.75" customHeight="1" x14ac:dyDescent="0.25">
      <c r="A41" s="518" t="s">
        <v>1051</v>
      </c>
      <c r="B41" s="169"/>
      <c r="C41" s="748"/>
      <c r="D41" s="745">
        <v>7812877.275000005</v>
      </c>
      <c r="E41" s="733">
        <v>7812877.275000005</v>
      </c>
      <c r="F41" s="733">
        <v>221837.29999999993</v>
      </c>
      <c r="G41" s="733">
        <v>1328981.3000000005</v>
      </c>
      <c r="H41" s="733">
        <f t="shared" si="11"/>
        <v>3906438.6375000025</v>
      </c>
      <c r="I41" s="44">
        <f>G41-H41</f>
        <v>-2577457.3375000022</v>
      </c>
      <c r="J41" s="330">
        <f>IF(I41=0,"",I41/H41)</f>
        <v>-0.65979721600068286</v>
      </c>
      <c r="K41" s="735">
        <f t="shared" si="14"/>
        <v>7812877.275000005</v>
      </c>
    </row>
    <row r="42" spans="1:11" ht="12.75" customHeight="1" x14ac:dyDescent="0.25">
      <c r="A42" s="518" t="s">
        <v>1052</v>
      </c>
      <c r="B42" s="169"/>
      <c r="C42" s="748"/>
      <c r="D42" s="745">
        <v>46854856.603799991</v>
      </c>
      <c r="E42" s="733">
        <v>46854856.603799991</v>
      </c>
      <c r="F42" s="733">
        <v>9545857.2199999951</v>
      </c>
      <c r="G42" s="733">
        <v>65967213.049999967</v>
      </c>
      <c r="H42" s="733">
        <f t="shared" si="11"/>
        <v>23427428.301899996</v>
      </c>
      <c r="I42" s="44">
        <f t="shared" si="12"/>
        <v>42539784.748099968</v>
      </c>
      <c r="J42" s="330">
        <f t="shared" si="13"/>
        <v>1.8158111167775908</v>
      </c>
      <c r="K42" s="735">
        <f t="shared" si="14"/>
        <v>46854856.603799991</v>
      </c>
    </row>
    <row r="43" spans="1:11" ht="12.75" customHeight="1" x14ac:dyDescent="0.25">
      <c r="A43" s="518" t="s">
        <v>1053</v>
      </c>
      <c r="B43" s="169"/>
      <c r="C43" s="748"/>
      <c r="D43" s="745"/>
      <c r="E43" s="733"/>
      <c r="F43" s="733"/>
      <c r="G43" s="733"/>
      <c r="H43" s="733"/>
      <c r="I43" s="44">
        <f t="shared" si="12"/>
        <v>0</v>
      </c>
      <c r="J43" s="330" t="str">
        <f t="shared" si="13"/>
        <v/>
      </c>
      <c r="K43" s="735"/>
    </row>
    <row r="44" spans="1:11" ht="12.75" customHeight="1" x14ac:dyDescent="0.25">
      <c r="A44" s="518" t="s">
        <v>1054</v>
      </c>
      <c r="B44" s="169"/>
      <c r="C44" s="748"/>
      <c r="D44" s="745">
        <v>24172767.795784086</v>
      </c>
      <c r="E44" s="733">
        <v>24172767.795784086</v>
      </c>
      <c r="F44" s="733">
        <v>1207189.2500000002</v>
      </c>
      <c r="G44" s="733">
        <v>7533993.7900000019</v>
      </c>
      <c r="H44" s="733">
        <f t="shared" si="11"/>
        <v>12086383.897892043</v>
      </c>
      <c r="I44" s="44">
        <f t="shared" si="12"/>
        <v>-4552390.1078920411</v>
      </c>
      <c r="J44" s="330">
        <f t="shared" si="13"/>
        <v>-0.37665443579746066</v>
      </c>
      <c r="K44" s="735">
        <f>E44</f>
        <v>24172767.795784086</v>
      </c>
    </row>
    <row r="45" spans="1:11" ht="12.75" customHeight="1" x14ac:dyDescent="0.25">
      <c r="A45" s="518" t="s">
        <v>1055</v>
      </c>
      <c r="B45" s="169">
        <v>2</v>
      </c>
      <c r="C45" s="748"/>
      <c r="D45" s="745"/>
      <c r="E45" s="733"/>
      <c r="F45" s="733"/>
      <c r="G45" s="733"/>
      <c r="H45" s="733"/>
      <c r="I45" s="44">
        <f t="shared" si="12"/>
        <v>0</v>
      </c>
      <c r="J45" s="330" t="str">
        <f t="shared" si="13"/>
        <v/>
      </c>
      <c r="K45" s="735"/>
    </row>
    <row r="46" spans="1:11" ht="12.75" customHeight="1" x14ac:dyDescent="0.25">
      <c r="A46" s="87" t="s">
        <v>432</v>
      </c>
      <c r="B46" s="169"/>
      <c r="C46" s="516">
        <f t="shared" ref="C46:K46" si="15">SUM(C34:C45)</f>
        <v>0</v>
      </c>
      <c r="D46" s="475">
        <f t="shared" si="15"/>
        <v>1415127221.9541829</v>
      </c>
      <c r="E46" s="430">
        <f t="shared" si="15"/>
        <v>1415127221.9541829</v>
      </c>
      <c r="F46" s="430">
        <f>SUM(F34:F45)</f>
        <v>102935220.61000001</v>
      </c>
      <c r="G46" s="430">
        <f>SUM(G34:G45)</f>
        <v>696274689.48999989</v>
      </c>
      <c r="H46" s="430">
        <f>SUM(H34:H45)</f>
        <v>707563610.97709143</v>
      </c>
      <c r="I46" s="430">
        <f t="shared" si="12"/>
        <v>-11288921.487091541</v>
      </c>
      <c r="J46" s="431">
        <f>IF(I46=0,"",I46/H46)</f>
        <v>-1.5954638299590339E-2</v>
      </c>
      <c r="K46" s="513">
        <f t="shared" si="15"/>
        <v>1415127221.9541829</v>
      </c>
    </row>
    <row r="47" spans="1:11" ht="12.75" customHeight="1" x14ac:dyDescent="0.25">
      <c r="A47" s="565" t="s">
        <v>722</v>
      </c>
      <c r="B47" s="169">
        <v>4</v>
      </c>
      <c r="C47" s="399"/>
      <c r="D47" s="303" t="e">
        <f>IF(D46=0,"",(D46/C46)-1)</f>
        <v>#DIV/0!</v>
      </c>
      <c r="E47" s="303" t="e">
        <f>IF(E46=0,"",(E46/C46)-1)</f>
        <v>#DIV/0!</v>
      </c>
      <c r="F47" s="303"/>
      <c r="G47" s="303"/>
      <c r="H47" s="303"/>
      <c r="I47" s="401"/>
      <c r="J47" s="403"/>
      <c r="K47" s="312" t="e">
        <f>IF(K46=0,"",(K46/C46)-1)</f>
        <v>#DIV/0!</v>
      </c>
    </row>
    <row r="48" spans="1:11" ht="5.0999999999999996" customHeight="1" x14ac:dyDescent="0.25">
      <c r="A48" s="42"/>
      <c r="B48" s="169"/>
      <c r="C48" s="400"/>
      <c r="D48" s="104"/>
      <c r="E48" s="103"/>
      <c r="F48" s="103"/>
      <c r="G48" s="103"/>
      <c r="H48" s="103"/>
      <c r="I48" s="402"/>
      <c r="J48" s="404"/>
      <c r="K48" s="266"/>
    </row>
    <row r="49" spans="1:11" ht="12.75" customHeight="1" x14ac:dyDescent="0.25">
      <c r="A49" s="92" t="s">
        <v>450</v>
      </c>
      <c r="B49" s="233"/>
      <c r="C49" s="243">
        <f>C14+C30+C46</f>
        <v>0</v>
      </c>
      <c r="D49" s="74">
        <f t="shared" ref="D49:K49" si="16">D14+D30+D46</f>
        <v>1483847874.727263</v>
      </c>
      <c r="E49" s="73">
        <f t="shared" si="16"/>
        <v>1483847874.727263</v>
      </c>
      <c r="F49" s="73">
        <f t="shared" si="16"/>
        <v>108007212.34000002</v>
      </c>
      <c r="G49" s="73">
        <f t="shared" si="16"/>
        <v>727198809.21999991</v>
      </c>
      <c r="H49" s="73">
        <f t="shared" si="16"/>
        <v>741923937.36363149</v>
      </c>
      <c r="I49" s="73">
        <f>G49-H49</f>
        <v>-14725128.143631577</v>
      </c>
      <c r="J49" s="331">
        <f>IF(I49=0,"",I49/H49)</f>
        <v>-1.9847220721784721E-2</v>
      </c>
      <c r="K49" s="145">
        <f t="shared" si="16"/>
        <v>1483847874.727263</v>
      </c>
    </row>
    <row r="50" spans="1:11" ht="5.0999999999999996" customHeight="1" x14ac:dyDescent="0.25">
      <c r="A50" s="42"/>
      <c r="B50" s="169"/>
      <c r="C50" s="173"/>
      <c r="D50" s="303" t="e">
        <f>IF(D49=0,"",(D49/C49)-1)</f>
        <v>#DIV/0!</v>
      </c>
      <c r="E50" s="303" t="e">
        <f>IF(E49=0,"",(E49/C49)-1)</f>
        <v>#DIV/0!</v>
      </c>
      <c r="F50" s="303"/>
      <c r="G50" s="303"/>
      <c r="H50" s="303"/>
      <c r="I50" s="303"/>
      <c r="J50" s="344"/>
      <c r="K50" s="312" t="e">
        <f>IF(K49=0,"",(K49/C49)-1)</f>
        <v>#DIV/0!</v>
      </c>
    </row>
    <row r="51" spans="1:11" ht="12.75" customHeight="1" x14ac:dyDescent="0.25">
      <c r="A51" s="350" t="s">
        <v>885</v>
      </c>
      <c r="B51" s="248"/>
      <c r="C51" s="351"/>
      <c r="D51" s="352"/>
      <c r="E51" s="353"/>
      <c r="F51" s="353"/>
      <c r="G51" s="353"/>
      <c r="H51" s="353"/>
      <c r="I51" s="353"/>
      <c r="J51" s="353"/>
      <c r="K51" s="354"/>
    </row>
    <row r="52" spans="1:11" ht="5.0999999999999996" customHeight="1" x14ac:dyDescent="0.25">
      <c r="A52" s="42"/>
      <c r="B52" s="169"/>
      <c r="C52" s="173"/>
      <c r="D52" s="310"/>
      <c r="E52" s="146"/>
      <c r="F52" s="146"/>
      <c r="G52" s="146"/>
      <c r="H52" s="146"/>
      <c r="I52" s="146"/>
      <c r="J52" s="146"/>
      <c r="K52" s="311"/>
    </row>
    <row r="53" spans="1:11" ht="12.75" customHeight="1" x14ac:dyDescent="0.25">
      <c r="A53" s="566" t="s">
        <v>556</v>
      </c>
      <c r="B53" s="169"/>
      <c r="C53" s="40"/>
      <c r="D53" s="104"/>
      <c r="E53" s="103"/>
      <c r="F53" s="103"/>
      <c r="G53" s="103"/>
      <c r="H53" s="103"/>
      <c r="I53" s="103"/>
      <c r="J53" s="330"/>
      <c r="K53" s="266"/>
    </row>
    <row r="54" spans="1:11" ht="12.75" customHeight="1" x14ac:dyDescent="0.25">
      <c r="A54" s="39" t="s">
        <v>490</v>
      </c>
      <c r="B54" s="169"/>
      <c r="C54" s="748"/>
      <c r="D54" s="745"/>
      <c r="E54" s="733"/>
      <c r="F54" s="733">
        <v>40158.61</v>
      </c>
      <c r="G54" s="733">
        <v>77672.03</v>
      </c>
      <c r="H54" s="733"/>
      <c r="I54" s="44">
        <f t="shared" ref="I54:I67" si="17">G54-H54</f>
        <v>77672.03</v>
      </c>
      <c r="J54" s="330" t="e">
        <f t="shared" ref="J54:J66" si="18">IF(I54=0,"",I54/H54)</f>
        <v>#DIV/0!</v>
      </c>
      <c r="K54" s="735"/>
    </row>
    <row r="55" spans="1:11" ht="12.75" customHeight="1" x14ac:dyDescent="0.25">
      <c r="A55" s="39" t="s">
        <v>1048</v>
      </c>
      <c r="B55" s="169"/>
      <c r="C55" s="748"/>
      <c r="D55" s="745"/>
      <c r="E55" s="733"/>
      <c r="F55" s="733"/>
      <c r="G55" s="733"/>
      <c r="H55" s="733"/>
      <c r="I55" s="44">
        <f t="shared" si="17"/>
        <v>0</v>
      </c>
      <c r="J55" s="330" t="str">
        <f t="shared" si="18"/>
        <v/>
      </c>
      <c r="K55" s="735"/>
    </row>
    <row r="56" spans="1:11" ht="12.75" customHeight="1" x14ac:dyDescent="0.25">
      <c r="A56" s="39" t="s">
        <v>427</v>
      </c>
      <c r="B56" s="169"/>
      <c r="C56" s="748"/>
      <c r="D56" s="745"/>
      <c r="E56" s="733"/>
      <c r="F56" s="733"/>
      <c r="G56" s="733"/>
      <c r="H56" s="733"/>
      <c r="I56" s="44">
        <f t="shared" si="17"/>
        <v>0</v>
      </c>
      <c r="J56" s="330" t="str">
        <f t="shared" si="18"/>
        <v/>
      </c>
      <c r="K56" s="735"/>
    </row>
    <row r="57" spans="1:11" ht="12.75" customHeight="1" x14ac:dyDescent="0.25">
      <c r="A57" s="39" t="s">
        <v>539</v>
      </c>
      <c r="B57" s="169"/>
      <c r="C57" s="748"/>
      <c r="D57" s="745"/>
      <c r="E57" s="733"/>
      <c r="F57" s="733"/>
      <c r="G57" s="733"/>
      <c r="H57" s="733"/>
      <c r="I57" s="44">
        <f>G57-H57</f>
        <v>0</v>
      </c>
      <c r="J57" s="330" t="str">
        <f>IF(I57=0,"",I57/H57)</f>
        <v/>
      </c>
      <c r="K57" s="735"/>
    </row>
    <row r="58" spans="1:11" ht="12.75" customHeight="1" x14ac:dyDescent="0.25">
      <c r="A58" s="39" t="s">
        <v>429</v>
      </c>
      <c r="B58" s="169"/>
      <c r="C58" s="748"/>
      <c r="D58" s="745"/>
      <c r="E58" s="733"/>
      <c r="F58" s="733"/>
      <c r="G58" s="733"/>
      <c r="H58" s="733"/>
      <c r="I58" s="44">
        <f>G58-H58</f>
        <v>0</v>
      </c>
      <c r="J58" s="330" t="str">
        <f>IF(I58=0,"",I58/H58)</f>
        <v/>
      </c>
      <c r="K58" s="735"/>
    </row>
    <row r="59" spans="1:11" ht="12.75" customHeight="1" x14ac:dyDescent="0.25">
      <c r="A59" s="39" t="s">
        <v>1049</v>
      </c>
      <c r="B59" s="169"/>
      <c r="C59" s="748"/>
      <c r="D59" s="745"/>
      <c r="E59" s="733"/>
      <c r="F59" s="733"/>
      <c r="G59" s="733"/>
      <c r="H59" s="733"/>
      <c r="I59" s="44">
        <f>G59-H59</f>
        <v>0</v>
      </c>
      <c r="J59" s="330" t="str">
        <f>IF(I59=0,"",I59/H59)</f>
        <v/>
      </c>
      <c r="K59" s="735"/>
    </row>
    <row r="60" spans="1:11" ht="12.75" customHeight="1" x14ac:dyDescent="0.25">
      <c r="A60" s="39" t="s">
        <v>1050</v>
      </c>
      <c r="B60" s="169"/>
      <c r="C60" s="748"/>
      <c r="D60" s="745"/>
      <c r="E60" s="733"/>
      <c r="F60" s="733"/>
      <c r="G60" s="733"/>
      <c r="H60" s="733"/>
      <c r="I60" s="44">
        <f>G60-H60</f>
        <v>0</v>
      </c>
      <c r="J60" s="330" t="str">
        <f>IF(I60=0,"",I60/H60)</f>
        <v/>
      </c>
      <c r="K60" s="735"/>
    </row>
    <row r="61" spans="1:11" ht="12.75" customHeight="1" x14ac:dyDescent="0.25">
      <c r="A61" s="39" t="s">
        <v>1051</v>
      </c>
      <c r="B61" s="169"/>
      <c r="C61" s="748"/>
      <c r="D61" s="745"/>
      <c r="E61" s="733"/>
      <c r="F61" s="733"/>
      <c r="G61" s="733"/>
      <c r="H61" s="733"/>
      <c r="I61" s="44">
        <f>G61-H61</f>
        <v>0</v>
      </c>
      <c r="J61" s="330" t="str">
        <f>IF(I61=0,"",I61/H61)</f>
        <v/>
      </c>
      <c r="K61" s="735"/>
    </row>
    <row r="62" spans="1:11" ht="12.75" customHeight="1" x14ac:dyDescent="0.25">
      <c r="A62" s="39" t="s">
        <v>1052</v>
      </c>
      <c r="B62" s="169"/>
      <c r="C62" s="748"/>
      <c r="D62" s="745"/>
      <c r="E62" s="733"/>
      <c r="F62" s="733"/>
      <c r="G62" s="733"/>
      <c r="H62" s="733"/>
      <c r="I62" s="44">
        <f t="shared" si="17"/>
        <v>0</v>
      </c>
      <c r="J62" s="330" t="str">
        <f t="shared" si="18"/>
        <v/>
      </c>
      <c r="K62" s="735"/>
    </row>
    <row r="63" spans="1:11" ht="12.75" customHeight="1" x14ac:dyDescent="0.25">
      <c r="A63" s="39" t="s">
        <v>557</v>
      </c>
      <c r="B63" s="169"/>
      <c r="C63" s="748"/>
      <c r="D63" s="745"/>
      <c r="E63" s="733"/>
      <c r="F63" s="733"/>
      <c r="G63" s="733"/>
      <c r="H63" s="733"/>
      <c r="I63" s="44">
        <f>G63-H63</f>
        <v>0</v>
      </c>
      <c r="J63" s="330" t="str">
        <f>IF(I63=0,"",I63/H63)</f>
        <v/>
      </c>
      <c r="K63" s="735"/>
    </row>
    <row r="64" spans="1:11" ht="12.75" customHeight="1" x14ac:dyDescent="0.25">
      <c r="A64" s="39" t="s">
        <v>1053</v>
      </c>
      <c r="B64" s="169"/>
      <c r="C64" s="748"/>
      <c r="D64" s="745"/>
      <c r="E64" s="733"/>
      <c r="F64" s="733"/>
      <c r="G64" s="733"/>
      <c r="H64" s="733"/>
      <c r="I64" s="44">
        <f t="shared" si="17"/>
        <v>0</v>
      </c>
      <c r="J64" s="330" t="str">
        <f t="shared" si="18"/>
        <v/>
      </c>
      <c r="K64" s="735"/>
    </row>
    <row r="65" spans="1:11" ht="12.75" customHeight="1" x14ac:dyDescent="0.25">
      <c r="A65" s="39" t="s">
        <v>1054</v>
      </c>
      <c r="B65" s="169"/>
      <c r="C65" s="748"/>
      <c r="D65" s="745"/>
      <c r="E65" s="733"/>
      <c r="F65" s="733"/>
      <c r="G65" s="733"/>
      <c r="H65" s="733"/>
      <c r="I65" s="44">
        <f t="shared" si="17"/>
        <v>0</v>
      </c>
      <c r="J65" s="330" t="str">
        <f t="shared" si="18"/>
        <v/>
      </c>
      <c r="K65" s="735"/>
    </row>
    <row r="66" spans="1:11" ht="12.75" customHeight="1" x14ac:dyDescent="0.25">
      <c r="A66" s="39" t="s">
        <v>1055</v>
      </c>
      <c r="B66" s="169"/>
      <c r="C66" s="748"/>
      <c r="D66" s="745"/>
      <c r="E66" s="733"/>
      <c r="F66" s="733"/>
      <c r="G66" s="733"/>
      <c r="H66" s="733"/>
      <c r="I66" s="44">
        <f t="shared" si="17"/>
        <v>0</v>
      </c>
      <c r="J66" s="330" t="str">
        <f t="shared" si="18"/>
        <v/>
      </c>
      <c r="K66" s="735"/>
    </row>
    <row r="67" spans="1:11" ht="12.75" customHeight="1" x14ac:dyDescent="0.25">
      <c r="A67" s="87" t="s">
        <v>770</v>
      </c>
      <c r="B67" s="169">
        <v>2</v>
      </c>
      <c r="C67" s="516">
        <f t="shared" ref="C67:K67" si="19">SUM(C54:C66)</f>
        <v>0</v>
      </c>
      <c r="D67" s="475">
        <f t="shared" si="19"/>
        <v>0</v>
      </c>
      <c r="E67" s="430">
        <f t="shared" si="19"/>
        <v>0</v>
      </c>
      <c r="F67" s="430">
        <f>SUM(F54:F66)</f>
        <v>40158.61</v>
      </c>
      <c r="G67" s="430">
        <f>SUM(G54:G66)</f>
        <v>77672.03</v>
      </c>
      <c r="H67" s="430">
        <f>SUM(H54:H66)</f>
        <v>0</v>
      </c>
      <c r="I67" s="430">
        <f t="shared" si="17"/>
        <v>77672.03</v>
      </c>
      <c r="J67" s="431" t="e">
        <f>IF(I67=0,"",I67/H67)</f>
        <v>#DIV/0!</v>
      </c>
      <c r="K67" s="513">
        <f t="shared" si="19"/>
        <v>0</v>
      </c>
    </row>
    <row r="68" spans="1:11" ht="12.75" customHeight="1" x14ac:dyDescent="0.25">
      <c r="A68" s="565" t="s">
        <v>722</v>
      </c>
      <c r="B68" s="169">
        <v>4</v>
      </c>
      <c r="C68" s="173"/>
      <c r="D68" s="303" t="str">
        <f>IF(D67=0,"",(D67/C67)-1)</f>
        <v/>
      </c>
      <c r="E68" s="303" t="str">
        <f>IF(E67=0,"",(E67/C67)-1)</f>
        <v/>
      </c>
      <c r="F68" s="303"/>
      <c r="G68" s="303"/>
      <c r="H68" s="303"/>
      <c r="I68" s="303"/>
      <c r="J68" s="344"/>
      <c r="K68" s="312" t="str">
        <f>IF(K67=0,"",(K67/C67)-1)</f>
        <v/>
      </c>
    </row>
    <row r="69" spans="1:11" ht="5.0999999999999996" customHeight="1" x14ac:dyDescent="0.25">
      <c r="A69" s="42"/>
      <c r="B69" s="169"/>
      <c r="C69" s="40"/>
      <c r="D69" s="104"/>
      <c r="E69" s="103"/>
      <c r="F69" s="103"/>
      <c r="G69" s="103"/>
      <c r="H69" s="103"/>
      <c r="I69" s="103"/>
      <c r="J69" s="330"/>
      <c r="K69" s="266"/>
    </row>
    <row r="70" spans="1:11" ht="12.75" customHeight="1" x14ac:dyDescent="0.25">
      <c r="A70" s="566" t="s">
        <v>830</v>
      </c>
      <c r="B70" s="169"/>
      <c r="C70" s="40"/>
      <c r="D70" s="104"/>
      <c r="E70" s="103"/>
      <c r="F70" s="103"/>
      <c r="G70" s="103"/>
      <c r="H70" s="103"/>
      <c r="I70" s="103"/>
      <c r="J70" s="330"/>
      <c r="K70" s="266"/>
    </row>
    <row r="71" spans="1:11" ht="12.75" customHeight="1" x14ac:dyDescent="0.25">
      <c r="A71" s="518" t="s">
        <v>490</v>
      </c>
      <c r="B71" s="169"/>
      <c r="C71" s="748"/>
      <c r="D71" s="745">
        <v>582641.17447499989</v>
      </c>
      <c r="E71" s="733">
        <v>582641.17447499989</v>
      </c>
      <c r="F71" s="733">
        <v>103347.5</v>
      </c>
      <c r="G71" s="733">
        <v>362088.05</v>
      </c>
      <c r="H71" s="733">
        <f t="shared" ref="H71" si="20">E71/12*6</f>
        <v>291320.58723749995</v>
      </c>
      <c r="I71" s="44">
        <f t="shared" ref="I71:I83" si="21">G71-H71</f>
        <v>70767.462762500043</v>
      </c>
      <c r="J71" s="330">
        <f t="shared" ref="J71:J82" si="22">IF(I71=0,"",I71/H71)</f>
        <v>0.24291953903280672</v>
      </c>
      <c r="K71" s="735">
        <f>E71</f>
        <v>582641.17447499989</v>
      </c>
    </row>
    <row r="72" spans="1:11" ht="12.75" customHeight="1" x14ac:dyDescent="0.25">
      <c r="A72" s="518" t="s">
        <v>1048</v>
      </c>
      <c r="B72" s="169"/>
      <c r="C72" s="748"/>
      <c r="D72" s="745"/>
      <c r="E72" s="733"/>
      <c r="F72" s="733"/>
      <c r="G72" s="733"/>
      <c r="H72" s="733"/>
      <c r="I72" s="44">
        <f t="shared" si="21"/>
        <v>0</v>
      </c>
      <c r="J72" s="330" t="str">
        <f t="shared" si="22"/>
        <v/>
      </c>
      <c r="K72" s="735"/>
    </row>
    <row r="73" spans="1:11" ht="12.75" customHeight="1" x14ac:dyDescent="0.25">
      <c r="A73" s="518" t="s">
        <v>427</v>
      </c>
      <c r="B73" s="169"/>
      <c r="C73" s="748"/>
      <c r="D73" s="745">
        <v>27003.628799999999</v>
      </c>
      <c r="E73" s="733">
        <v>27003.628799999999</v>
      </c>
      <c r="F73" s="733">
        <v>2254</v>
      </c>
      <c r="G73" s="733">
        <v>13524</v>
      </c>
      <c r="H73" s="733">
        <f t="shared" ref="H73" si="23">E73/12*6</f>
        <v>13501.814399999999</v>
      </c>
      <c r="I73" s="44">
        <f t="shared" si="21"/>
        <v>22.185600000000704</v>
      </c>
      <c r="J73" s="330">
        <f t="shared" si="22"/>
        <v>1.6431569374854319E-3</v>
      </c>
      <c r="K73" s="735">
        <f>E73</f>
        <v>27003.628799999999</v>
      </c>
    </row>
    <row r="74" spans="1:11" ht="12.75" customHeight="1" x14ac:dyDescent="0.25">
      <c r="A74" s="518" t="s">
        <v>539</v>
      </c>
      <c r="B74" s="169"/>
      <c r="C74" s="748"/>
      <c r="D74" s="745"/>
      <c r="E74" s="733"/>
      <c r="F74" s="733">
        <v>2500</v>
      </c>
      <c r="G74" s="733">
        <v>15000</v>
      </c>
      <c r="H74" s="733"/>
      <c r="I74" s="44">
        <f t="shared" si="21"/>
        <v>15000</v>
      </c>
      <c r="J74" s="330" t="e">
        <f t="shared" si="22"/>
        <v>#DIV/0!</v>
      </c>
      <c r="K74" s="735"/>
    </row>
    <row r="75" spans="1:11" ht="12.75" customHeight="1" x14ac:dyDescent="0.25">
      <c r="A75" s="518" t="s">
        <v>429</v>
      </c>
      <c r="B75" s="169"/>
      <c r="C75" s="748"/>
      <c r="D75" s="745">
        <v>62095.416074999994</v>
      </c>
      <c r="E75" s="733">
        <v>62095.416074999994</v>
      </c>
      <c r="F75" s="733">
        <v>600</v>
      </c>
      <c r="G75" s="733">
        <v>3600</v>
      </c>
      <c r="H75" s="733">
        <f t="shared" ref="H75:H77" si="24">E75/12*6</f>
        <v>31047.708037500001</v>
      </c>
      <c r="I75" s="44">
        <f>G75-H75</f>
        <v>-27447.708037500001</v>
      </c>
      <c r="J75" s="330">
        <f>IF(I75=0,"",I75/H75)</f>
        <v>-0.88404941209664001</v>
      </c>
      <c r="K75" s="735">
        <f t="shared" ref="K75:K77" si="25">E75</f>
        <v>62095.416074999994</v>
      </c>
    </row>
    <row r="76" spans="1:11" ht="12.75" customHeight="1" x14ac:dyDescent="0.25">
      <c r="A76" s="518" t="s">
        <v>1049</v>
      </c>
      <c r="B76" s="169"/>
      <c r="C76" s="748"/>
      <c r="D76" s="745">
        <v>24952.949999999997</v>
      </c>
      <c r="E76" s="733">
        <v>24952.949999999997</v>
      </c>
      <c r="F76" s="733"/>
      <c r="G76" s="733"/>
      <c r="H76" s="733">
        <f t="shared" si="24"/>
        <v>12476.474999999999</v>
      </c>
      <c r="I76" s="44">
        <f>G76-H76</f>
        <v>-12476.474999999999</v>
      </c>
      <c r="J76" s="330">
        <f>IF(I76=0,"",I76/H76)</f>
        <v>-1</v>
      </c>
      <c r="K76" s="735">
        <f t="shared" si="25"/>
        <v>24952.949999999997</v>
      </c>
    </row>
    <row r="77" spans="1:11" ht="12.75" customHeight="1" x14ac:dyDescent="0.25">
      <c r="A77" s="518" t="s">
        <v>1050</v>
      </c>
      <c r="B77" s="169"/>
      <c r="C77" s="748"/>
      <c r="D77" s="745">
        <v>8166.4199999999992</v>
      </c>
      <c r="E77" s="733">
        <v>8166.4199999999992</v>
      </c>
      <c r="F77" s="733"/>
      <c r="G77" s="733"/>
      <c r="H77" s="733">
        <f t="shared" si="24"/>
        <v>4083.21</v>
      </c>
      <c r="I77" s="44">
        <f>G77-H77</f>
        <v>-4083.21</v>
      </c>
      <c r="J77" s="330">
        <f>IF(I77=0,"",I77/H77)</f>
        <v>-1</v>
      </c>
      <c r="K77" s="735">
        <f t="shared" si="25"/>
        <v>8166.4199999999992</v>
      </c>
    </row>
    <row r="78" spans="1:11" ht="12.75" customHeight="1" x14ac:dyDescent="0.25">
      <c r="A78" s="518" t="s">
        <v>1051</v>
      </c>
      <c r="B78" s="169"/>
      <c r="C78" s="748"/>
      <c r="D78" s="745"/>
      <c r="E78" s="733"/>
      <c r="F78" s="733"/>
      <c r="G78" s="733"/>
      <c r="H78" s="733"/>
      <c r="I78" s="44">
        <f>G78-H78</f>
        <v>0</v>
      </c>
      <c r="J78" s="330" t="str">
        <f>IF(I78=0,"",I78/H78)</f>
        <v/>
      </c>
      <c r="K78" s="735"/>
    </row>
    <row r="79" spans="1:11" ht="12.75" customHeight="1" x14ac:dyDescent="0.25">
      <c r="A79" s="518" t="s">
        <v>1052</v>
      </c>
      <c r="B79" s="169"/>
      <c r="C79" s="748"/>
      <c r="D79" s="745"/>
      <c r="E79" s="733"/>
      <c r="F79" s="733"/>
      <c r="G79" s="733"/>
      <c r="H79" s="733"/>
      <c r="I79" s="44">
        <f t="shared" si="21"/>
        <v>0</v>
      </c>
      <c r="J79" s="330" t="str">
        <f t="shared" si="22"/>
        <v/>
      </c>
      <c r="K79" s="735"/>
    </row>
    <row r="80" spans="1:11" ht="12.75" customHeight="1" x14ac:dyDescent="0.25">
      <c r="A80" s="518" t="s">
        <v>1053</v>
      </c>
      <c r="B80" s="169"/>
      <c r="C80" s="748"/>
      <c r="D80" s="745"/>
      <c r="E80" s="733"/>
      <c r="F80" s="733"/>
      <c r="G80" s="733"/>
      <c r="H80" s="733"/>
      <c r="I80" s="44">
        <f t="shared" si="21"/>
        <v>0</v>
      </c>
      <c r="J80" s="330" t="str">
        <f t="shared" si="22"/>
        <v/>
      </c>
      <c r="K80" s="735"/>
    </row>
    <row r="81" spans="1:11" ht="12.75" customHeight="1" x14ac:dyDescent="0.25">
      <c r="A81" s="518" t="s">
        <v>1054</v>
      </c>
      <c r="B81" s="169"/>
      <c r="C81" s="748"/>
      <c r="D81" s="745"/>
      <c r="E81" s="733"/>
      <c r="F81" s="733"/>
      <c r="G81" s="733"/>
      <c r="H81" s="733"/>
      <c r="I81" s="44">
        <f t="shared" si="21"/>
        <v>0</v>
      </c>
      <c r="J81" s="330" t="str">
        <f t="shared" si="22"/>
        <v/>
      </c>
      <c r="K81" s="735"/>
    </row>
    <row r="82" spans="1:11" ht="12.75" customHeight="1" x14ac:dyDescent="0.25">
      <c r="A82" s="518" t="s">
        <v>1055</v>
      </c>
      <c r="B82" s="169">
        <v>2</v>
      </c>
      <c r="C82" s="748"/>
      <c r="D82" s="745"/>
      <c r="E82" s="733"/>
      <c r="F82" s="733"/>
      <c r="G82" s="733"/>
      <c r="H82" s="733"/>
      <c r="I82" s="44">
        <f t="shared" si="21"/>
        <v>0</v>
      </c>
      <c r="J82" s="330" t="str">
        <f t="shared" si="22"/>
        <v/>
      </c>
      <c r="K82" s="735"/>
    </row>
    <row r="83" spans="1:11" ht="12.75" customHeight="1" x14ac:dyDescent="0.25">
      <c r="A83" s="87" t="s">
        <v>831</v>
      </c>
      <c r="B83" s="169"/>
      <c r="C83" s="516">
        <f t="shared" ref="C83:K83" si="26">SUM(C71:C82)</f>
        <v>0</v>
      </c>
      <c r="D83" s="475">
        <f t="shared" si="26"/>
        <v>704859.58934999979</v>
      </c>
      <c r="E83" s="430">
        <f t="shared" si="26"/>
        <v>704859.58934999979</v>
      </c>
      <c r="F83" s="430">
        <f>SUM(F71:F82)</f>
        <v>108701.5</v>
      </c>
      <c r="G83" s="430">
        <f>SUM(G71:G82)</f>
        <v>394212.05</v>
      </c>
      <c r="H83" s="430">
        <f>SUM(H71:H82)</f>
        <v>352429.7946749999</v>
      </c>
      <c r="I83" s="430">
        <f t="shared" si="21"/>
        <v>41782.255325000093</v>
      </c>
      <c r="J83" s="431">
        <f>IF(I83=0,"",I83/H83)</f>
        <v>0.11855483263987492</v>
      </c>
      <c r="K83" s="513">
        <f t="shared" si="26"/>
        <v>704859.58934999979</v>
      </c>
    </row>
    <row r="84" spans="1:11" ht="12.75" customHeight="1" x14ac:dyDescent="0.25">
      <c r="A84" s="565" t="s">
        <v>722</v>
      </c>
      <c r="B84" s="169">
        <v>4</v>
      </c>
      <c r="C84" s="173"/>
      <c r="D84" s="303" t="e">
        <f>IF(D83=0,"",(D83/C83)-1)</f>
        <v>#DIV/0!</v>
      </c>
      <c r="E84" s="303" t="e">
        <f>IF(E83=0,"",(E83/C83)-1)</f>
        <v>#DIV/0!</v>
      </c>
      <c r="F84" s="303"/>
      <c r="G84" s="303"/>
      <c r="H84" s="303"/>
      <c r="I84" s="303"/>
      <c r="J84" s="344"/>
      <c r="K84" s="312" t="e">
        <f>IF(K83=0,"",(K83/C83)-1)</f>
        <v>#DIV/0!</v>
      </c>
    </row>
    <row r="85" spans="1:11" ht="5.0999999999999996" customHeight="1" x14ac:dyDescent="0.25">
      <c r="A85" s="42"/>
      <c r="B85" s="169"/>
      <c r="C85" s="40"/>
      <c r="D85" s="104"/>
      <c r="E85" s="103"/>
      <c r="F85" s="103"/>
      <c r="G85" s="103"/>
      <c r="H85" s="103"/>
      <c r="I85" s="103"/>
      <c r="J85" s="330"/>
      <c r="K85" s="266"/>
    </row>
    <row r="86" spans="1:11" ht="12.75" customHeight="1" x14ac:dyDescent="0.25">
      <c r="A86" s="566" t="s">
        <v>717</v>
      </c>
      <c r="B86" s="169"/>
      <c r="C86" s="40"/>
      <c r="D86" s="104"/>
      <c r="E86" s="103"/>
      <c r="F86" s="103"/>
      <c r="G86" s="103"/>
      <c r="H86" s="103"/>
      <c r="I86" s="103"/>
      <c r="J86" s="330"/>
      <c r="K86" s="266"/>
    </row>
    <row r="87" spans="1:11" ht="12.75" customHeight="1" x14ac:dyDescent="0.25">
      <c r="A87" s="518" t="s">
        <v>490</v>
      </c>
      <c r="B87" s="169"/>
      <c r="C87" s="748"/>
      <c r="D87" s="745">
        <v>6769587.5498149209</v>
      </c>
      <c r="E87" s="733">
        <v>6769587.5498149209</v>
      </c>
      <c r="F87" s="733">
        <v>896967.05</v>
      </c>
      <c r="G87" s="733">
        <v>3177158.55</v>
      </c>
      <c r="H87" s="733">
        <f t="shared" ref="H87:H93" si="27">E87/12*6</f>
        <v>3384793.7749074604</v>
      </c>
      <c r="I87" s="44">
        <f t="shared" ref="I87:I99" si="28">G87-H87</f>
        <v>-207635.22490746062</v>
      </c>
      <c r="J87" s="330">
        <f t="shared" ref="J87:J98" si="29">IF(I87=0,"",I87/H87)</f>
        <v>-6.1343537809223643E-2</v>
      </c>
      <c r="K87" s="735">
        <f t="shared" ref="K87:K95" si="30">E87</f>
        <v>6769587.5498149209</v>
      </c>
    </row>
    <row r="88" spans="1:11" ht="12.75" customHeight="1" x14ac:dyDescent="0.25">
      <c r="A88" s="518" t="s">
        <v>1048</v>
      </c>
      <c r="B88" s="169"/>
      <c r="C88" s="748"/>
      <c r="D88" s="745">
        <v>570880.67137872009</v>
      </c>
      <c r="E88" s="733">
        <v>570880.67137872009</v>
      </c>
      <c r="F88" s="733">
        <v>34244.870000000003</v>
      </c>
      <c r="G88" s="733">
        <v>205469.22</v>
      </c>
      <c r="H88" s="733">
        <f t="shared" si="27"/>
        <v>285440.33568936004</v>
      </c>
      <c r="I88" s="44">
        <f t="shared" si="28"/>
        <v>-79971.115689360042</v>
      </c>
      <c r="J88" s="330">
        <f t="shared" si="29"/>
        <v>-0.2801675365754589</v>
      </c>
      <c r="K88" s="735">
        <f t="shared" si="30"/>
        <v>570880.67137872009</v>
      </c>
    </row>
    <row r="89" spans="1:11" ht="12.75" customHeight="1" x14ac:dyDescent="0.25">
      <c r="A89" s="518" t="s">
        <v>427</v>
      </c>
      <c r="B89" s="169"/>
      <c r="C89" s="748"/>
      <c r="D89" s="745">
        <v>890013.09891456028</v>
      </c>
      <c r="E89" s="733">
        <v>890013.09891456028</v>
      </c>
      <c r="F89" s="733">
        <v>63309.4</v>
      </c>
      <c r="G89" s="733">
        <v>379856.4</v>
      </c>
      <c r="H89" s="733">
        <f t="shared" si="27"/>
        <v>445006.54945728014</v>
      </c>
      <c r="I89" s="44">
        <f>G89-H89</f>
        <v>-65150.149457280117</v>
      </c>
      <c r="J89" s="330">
        <f>IF(I89=0,"",I89/H89)</f>
        <v>-0.14640267550384542</v>
      </c>
      <c r="K89" s="735">
        <f t="shared" si="30"/>
        <v>890013.09891456028</v>
      </c>
    </row>
    <row r="90" spans="1:11" ht="12.75" customHeight="1" x14ac:dyDescent="0.25">
      <c r="A90" s="518" t="s">
        <v>539</v>
      </c>
      <c r="B90" s="169"/>
      <c r="C90" s="748"/>
      <c r="D90" s="745">
        <v>1067347.5086988001</v>
      </c>
      <c r="E90" s="733">
        <v>1067347.5086988001</v>
      </c>
      <c r="F90" s="733">
        <v>8500</v>
      </c>
      <c r="G90" s="733">
        <v>48000</v>
      </c>
      <c r="H90" s="733">
        <f t="shared" si="27"/>
        <v>533673.75434940006</v>
      </c>
      <c r="I90" s="44">
        <f>G90-H90</f>
        <v>-485673.75434940006</v>
      </c>
      <c r="J90" s="330">
        <f>IF(I90=0,"",I90/H90)</f>
        <v>-0.91005740940264779</v>
      </c>
      <c r="K90" s="735">
        <f t="shared" si="30"/>
        <v>1067347.5086988001</v>
      </c>
    </row>
    <row r="91" spans="1:11" ht="12.75" customHeight="1" x14ac:dyDescent="0.25">
      <c r="A91" s="518" t="s">
        <v>429</v>
      </c>
      <c r="B91" s="169"/>
      <c r="C91" s="748"/>
      <c r="D91" s="745">
        <v>690873.07393068005</v>
      </c>
      <c r="E91" s="733">
        <v>690873.07393068005</v>
      </c>
      <c r="F91" s="733">
        <v>4650</v>
      </c>
      <c r="G91" s="733">
        <v>27100</v>
      </c>
      <c r="H91" s="733">
        <f t="shared" si="27"/>
        <v>345436.53696534003</v>
      </c>
      <c r="I91" s="44">
        <f>G91-H91</f>
        <v>-318336.53696534003</v>
      </c>
      <c r="J91" s="330">
        <f>IF(I91=0,"",I91/H91)</f>
        <v>-0.92154854191721147</v>
      </c>
      <c r="K91" s="735">
        <f t="shared" si="30"/>
        <v>690873.07393068005</v>
      </c>
    </row>
    <row r="92" spans="1:11" ht="12.75" customHeight="1" x14ac:dyDescent="0.25">
      <c r="A92" s="518" t="s">
        <v>1049</v>
      </c>
      <c r="B92" s="169"/>
      <c r="C92" s="748"/>
      <c r="D92" s="745">
        <v>195338.53416000001</v>
      </c>
      <c r="E92" s="733">
        <v>195338.53416000001</v>
      </c>
      <c r="F92" s="733"/>
      <c r="G92" s="733"/>
      <c r="H92" s="733">
        <f t="shared" si="27"/>
        <v>97669.267080000005</v>
      </c>
      <c r="I92" s="44">
        <f>G92-H92</f>
        <v>-97669.267080000005</v>
      </c>
      <c r="J92" s="330">
        <f>IF(I92=0,"",I92/H92)</f>
        <v>-1</v>
      </c>
      <c r="K92" s="735">
        <f t="shared" si="30"/>
        <v>195338.53416000001</v>
      </c>
    </row>
    <row r="93" spans="1:11" ht="12.75" customHeight="1" x14ac:dyDescent="0.25">
      <c r="A93" s="518" t="s">
        <v>1050</v>
      </c>
      <c r="B93" s="169"/>
      <c r="C93" s="748"/>
      <c r="D93" s="745">
        <v>92722.382124000011</v>
      </c>
      <c r="E93" s="733">
        <v>92722.382124000011</v>
      </c>
      <c r="F93" s="733">
        <v>81210</v>
      </c>
      <c r="G93" s="733">
        <v>451770</v>
      </c>
      <c r="H93" s="733">
        <f t="shared" si="27"/>
        <v>46361.191062000005</v>
      </c>
      <c r="I93" s="44">
        <f t="shared" si="28"/>
        <v>405408.808938</v>
      </c>
      <c r="J93" s="330">
        <f t="shared" si="29"/>
        <v>8.7445727698375233</v>
      </c>
      <c r="K93" s="735">
        <f t="shared" si="30"/>
        <v>92722.382124000011</v>
      </c>
    </row>
    <row r="94" spans="1:11" ht="12.75" customHeight="1" x14ac:dyDescent="0.25">
      <c r="A94" s="518" t="s">
        <v>1051</v>
      </c>
      <c r="B94" s="169"/>
      <c r="C94" s="748"/>
      <c r="D94" s="745"/>
      <c r="E94" s="733"/>
      <c r="F94" s="733"/>
      <c r="G94" s="733"/>
      <c r="H94" s="733"/>
      <c r="I94" s="44">
        <f t="shared" si="28"/>
        <v>0</v>
      </c>
      <c r="J94" s="330" t="str">
        <f t="shared" si="29"/>
        <v/>
      </c>
      <c r="K94" s="735"/>
    </row>
    <row r="95" spans="1:11" ht="12.75" customHeight="1" x14ac:dyDescent="0.25">
      <c r="A95" s="518" t="s">
        <v>1052</v>
      </c>
      <c r="B95" s="169"/>
      <c r="C95" s="748"/>
      <c r="D95" s="745">
        <v>84982.409815920022</v>
      </c>
      <c r="E95" s="733">
        <v>84982.409815920022</v>
      </c>
      <c r="F95" s="733"/>
      <c r="G95" s="733"/>
      <c r="H95" s="733">
        <f t="shared" ref="H95" si="31">E95/12*6</f>
        <v>42491.204907960011</v>
      </c>
      <c r="I95" s="44">
        <f t="shared" si="28"/>
        <v>-42491.204907960011</v>
      </c>
      <c r="J95" s="330">
        <f t="shared" si="29"/>
        <v>-1</v>
      </c>
      <c r="K95" s="735">
        <f t="shared" si="30"/>
        <v>84982.409815920022</v>
      </c>
    </row>
    <row r="96" spans="1:11" ht="12.75" customHeight="1" x14ac:dyDescent="0.25">
      <c r="A96" s="518" t="s">
        <v>1053</v>
      </c>
      <c r="B96" s="169"/>
      <c r="C96" s="748"/>
      <c r="D96" s="745"/>
      <c r="E96" s="733"/>
      <c r="F96" s="733"/>
      <c r="G96" s="733"/>
      <c r="H96" s="733"/>
      <c r="I96" s="44">
        <f t="shared" si="28"/>
        <v>0</v>
      </c>
      <c r="J96" s="330" t="str">
        <f t="shared" si="29"/>
        <v/>
      </c>
      <c r="K96" s="735"/>
    </row>
    <row r="97" spans="1:14" ht="12.75" customHeight="1" x14ac:dyDescent="0.25">
      <c r="A97" s="518" t="s">
        <v>1054</v>
      </c>
      <c r="B97" s="169"/>
      <c r="C97" s="748"/>
      <c r="D97" s="745"/>
      <c r="E97" s="733"/>
      <c r="F97" s="733"/>
      <c r="G97" s="733"/>
      <c r="H97" s="733"/>
      <c r="I97" s="44">
        <f t="shared" si="28"/>
        <v>0</v>
      </c>
      <c r="J97" s="330" t="str">
        <f t="shared" si="29"/>
        <v/>
      </c>
      <c r="K97" s="735"/>
    </row>
    <row r="98" spans="1:14" ht="12.75" customHeight="1" x14ac:dyDescent="0.25">
      <c r="A98" s="518" t="s">
        <v>1055</v>
      </c>
      <c r="B98" s="169"/>
      <c r="C98" s="748"/>
      <c r="D98" s="745"/>
      <c r="E98" s="733"/>
      <c r="F98" s="733"/>
      <c r="G98" s="733"/>
      <c r="H98" s="733"/>
      <c r="I98" s="44">
        <f t="shared" si="28"/>
        <v>0</v>
      </c>
      <c r="J98" s="330" t="str">
        <f t="shared" si="29"/>
        <v/>
      </c>
      <c r="K98" s="735"/>
    </row>
    <row r="99" spans="1:14" ht="12.75" customHeight="1" x14ac:dyDescent="0.25">
      <c r="A99" s="87" t="s">
        <v>510</v>
      </c>
      <c r="B99" s="169"/>
      <c r="C99" s="516">
        <f t="shared" ref="C99:H99" si="32">SUM(C87:C98)</f>
        <v>0</v>
      </c>
      <c r="D99" s="475">
        <f t="shared" si="32"/>
        <v>10361745.228837602</v>
      </c>
      <c r="E99" s="430">
        <f t="shared" si="32"/>
        <v>10361745.228837602</v>
      </c>
      <c r="F99" s="430">
        <f t="shared" si="32"/>
        <v>1088881.32</v>
      </c>
      <c r="G99" s="430">
        <f t="shared" si="32"/>
        <v>4289354.17</v>
      </c>
      <c r="H99" s="430">
        <f t="shared" si="32"/>
        <v>5180872.6144188009</v>
      </c>
      <c r="I99" s="430">
        <f t="shared" si="28"/>
        <v>-891518.44441880099</v>
      </c>
      <c r="J99" s="431">
        <f>IF(I99=0,"",I99/H99)</f>
        <v>-0.17207881968331565</v>
      </c>
      <c r="K99" s="513">
        <f>SUM(K87:K98)</f>
        <v>10361745.228837602</v>
      </c>
    </row>
    <row r="100" spans="1:14" ht="12.75" customHeight="1" x14ac:dyDescent="0.25">
      <c r="A100" s="565" t="s">
        <v>722</v>
      </c>
      <c r="B100" s="169">
        <v>4</v>
      </c>
      <c r="C100" s="399"/>
      <c r="D100" s="303" t="e">
        <f>IF(D99=0,"",(D99/C99)-1)</f>
        <v>#DIV/0!</v>
      </c>
      <c r="E100" s="303" t="e">
        <f>IF(E99=0,"",(E99/C99)-1)</f>
        <v>#DIV/0!</v>
      </c>
      <c r="F100" s="303"/>
      <c r="G100" s="303"/>
      <c r="H100" s="303"/>
      <c r="I100" s="401"/>
      <c r="J100" s="403"/>
      <c r="K100" s="312" t="e">
        <f>IF(K99=0,"",(K99/C99)-1)</f>
        <v>#DIV/0!</v>
      </c>
    </row>
    <row r="101" spans="1:14" ht="5.0999999999999996" customHeight="1" x14ac:dyDescent="0.25">
      <c r="A101" s="554"/>
      <c r="B101" s="248"/>
      <c r="C101" s="40"/>
      <c r="D101" s="104"/>
      <c r="E101" s="103"/>
      <c r="F101" s="103"/>
      <c r="G101" s="103"/>
      <c r="H101" s="103"/>
      <c r="I101" s="103"/>
      <c r="J101" s="330"/>
      <c r="K101" s="266"/>
    </row>
    <row r="102" spans="1:14" ht="12.75" customHeight="1" x14ac:dyDescent="0.25">
      <c r="A102" s="87" t="s">
        <v>451</v>
      </c>
      <c r="B102" s="169"/>
      <c r="C102" s="516">
        <f t="shared" ref="C102:H102" si="33">C67+C83+C99</f>
        <v>0</v>
      </c>
      <c r="D102" s="475">
        <f t="shared" si="33"/>
        <v>11066604.818187602</v>
      </c>
      <c r="E102" s="430">
        <f t="shared" si="33"/>
        <v>11066604.818187602</v>
      </c>
      <c r="F102" s="430">
        <f t="shared" si="33"/>
        <v>1237741.4300000002</v>
      </c>
      <c r="G102" s="430">
        <f t="shared" si="33"/>
        <v>4761238.25</v>
      </c>
      <c r="H102" s="430">
        <f t="shared" si="33"/>
        <v>5533302.4090938009</v>
      </c>
      <c r="I102" s="430">
        <f>G102-H102</f>
        <v>-772064.15909380093</v>
      </c>
      <c r="J102" s="431">
        <f>IF(I102=0,"",I102/H102)</f>
        <v>-0.13953044710242818</v>
      </c>
      <c r="K102" s="513">
        <f>K67+K83+K99</f>
        <v>11066604.818187602</v>
      </c>
    </row>
    <row r="103" spans="1:14" ht="5.0999999999999996" customHeight="1" x14ac:dyDescent="0.25">
      <c r="A103" s="42"/>
      <c r="B103" s="169"/>
      <c r="C103" s="134"/>
      <c r="D103" s="104"/>
      <c r="E103" s="103"/>
      <c r="F103" s="103"/>
      <c r="G103" s="103"/>
      <c r="H103" s="103"/>
      <c r="I103" s="103"/>
      <c r="J103" s="330"/>
      <c r="K103" s="266"/>
    </row>
    <row r="104" spans="1:14" ht="12.75" customHeight="1" x14ac:dyDescent="0.25">
      <c r="A104" s="568" t="s">
        <v>972</v>
      </c>
      <c r="B104" s="236"/>
      <c r="C104" s="112">
        <f t="shared" ref="C104:H104" si="34">C49+C102</f>
        <v>0</v>
      </c>
      <c r="D104" s="56">
        <f t="shared" si="34"/>
        <v>1494914479.5454507</v>
      </c>
      <c r="E104" s="55">
        <f t="shared" si="34"/>
        <v>1494914479.5454507</v>
      </c>
      <c r="F104" s="55">
        <f t="shared" si="34"/>
        <v>109244953.77000003</v>
      </c>
      <c r="G104" s="55">
        <f t="shared" si="34"/>
        <v>731960047.46999991</v>
      </c>
      <c r="H104" s="55">
        <f t="shared" si="34"/>
        <v>747457239.77272534</v>
      </c>
      <c r="I104" s="55">
        <f>G104-H104</f>
        <v>-15497192.302725434</v>
      </c>
      <c r="J104" s="332">
        <f>IF(I104=0,"",I104/H104)</f>
        <v>-2.0733215865883604E-2</v>
      </c>
      <c r="K104" s="235">
        <f>K49+K102</f>
        <v>1494914479.5454507</v>
      </c>
    </row>
    <row r="105" spans="1:14" ht="12.75" customHeight="1" x14ac:dyDescent="0.25">
      <c r="A105" s="565" t="s">
        <v>722</v>
      </c>
      <c r="B105" s="169">
        <v>4</v>
      </c>
      <c r="C105" s="399"/>
      <c r="D105" s="303" t="e">
        <f>IF(D104=0,"",(D104/C104)-1)</f>
        <v>#DIV/0!</v>
      </c>
      <c r="E105" s="303" t="e">
        <f>IF(E104=0,"",(E104/C104)-1)</f>
        <v>#DIV/0!</v>
      </c>
      <c r="F105" s="303"/>
      <c r="G105" s="303"/>
      <c r="H105" s="303"/>
      <c r="I105" s="401"/>
      <c r="J105" s="403"/>
      <c r="K105" s="312" t="e">
        <f>IF(K104=0,"",(K104/C104)-1)</f>
        <v>#DIV/0!</v>
      </c>
      <c r="L105" s="67"/>
      <c r="M105" s="67"/>
      <c r="N105" s="67"/>
    </row>
    <row r="106" spans="1:14" ht="12.75" customHeight="1" x14ac:dyDescent="0.25">
      <c r="A106" s="567" t="s">
        <v>133</v>
      </c>
      <c r="B106" s="236"/>
      <c r="C106" s="112">
        <f t="shared" ref="C106:I106" si="35">C30+C46+C83+C99</f>
        <v>0</v>
      </c>
      <c r="D106" s="56">
        <f t="shared" si="35"/>
        <v>1441264078.4299703</v>
      </c>
      <c r="E106" s="55">
        <f t="shared" si="35"/>
        <v>1441264078.4299703</v>
      </c>
      <c r="F106" s="55">
        <f t="shared" si="35"/>
        <v>105176440.26000001</v>
      </c>
      <c r="G106" s="55">
        <f t="shared" si="35"/>
        <v>706227889.30999982</v>
      </c>
      <c r="H106" s="55">
        <f t="shared" si="35"/>
        <v>720632039.21498513</v>
      </c>
      <c r="I106" s="55">
        <f t="shared" si="35"/>
        <v>-14404149.904985342</v>
      </c>
      <c r="J106" s="888">
        <f>IF(I106=0,"",I106/H106)</f>
        <v>-1.9988217455161154E-2</v>
      </c>
      <c r="K106" s="235">
        <f>K30+K46+K83+K99</f>
        <v>1441264078.4299703</v>
      </c>
      <c r="L106" s="67"/>
      <c r="M106" s="67"/>
      <c r="N106" s="67"/>
    </row>
    <row r="107" spans="1:14" ht="12.75" customHeight="1" x14ac:dyDescent="0.25">
      <c r="A107" s="57" t="str">
        <f>head27a</f>
        <v>References</v>
      </c>
      <c r="B107" s="58"/>
      <c r="C107" s="84"/>
      <c r="D107" s="84"/>
      <c r="E107" s="84"/>
      <c r="F107" s="84"/>
      <c r="G107" s="84"/>
      <c r="H107" s="84"/>
      <c r="I107" s="84"/>
      <c r="J107" s="84"/>
      <c r="K107" s="84"/>
      <c r="L107" s="67"/>
      <c r="M107" s="67"/>
      <c r="N107" s="67"/>
    </row>
    <row r="108" spans="1:14" ht="12.75" customHeight="1" x14ac:dyDescent="0.25">
      <c r="A108" s="80" t="s">
        <v>460</v>
      </c>
      <c r="B108" s="58"/>
      <c r="C108" s="84"/>
      <c r="D108" s="84"/>
      <c r="E108" s="84"/>
      <c r="F108" s="84"/>
      <c r="G108" s="84"/>
      <c r="H108" s="84"/>
      <c r="I108" s="84"/>
      <c r="J108" s="84"/>
      <c r="K108" s="84"/>
      <c r="L108" s="67"/>
      <c r="M108" s="67"/>
      <c r="N108" s="67"/>
    </row>
    <row r="109" spans="1:14" ht="12.75" customHeight="1" x14ac:dyDescent="0.25">
      <c r="A109" s="80" t="s">
        <v>776</v>
      </c>
      <c r="B109" s="58"/>
      <c r="C109" s="84"/>
      <c r="D109" s="84"/>
      <c r="E109" s="84"/>
      <c r="F109" s="84"/>
      <c r="G109" s="84"/>
      <c r="H109" s="84"/>
      <c r="I109" s="84"/>
      <c r="J109" s="84"/>
      <c r="K109" s="84"/>
      <c r="L109" s="67"/>
      <c r="M109" s="67"/>
      <c r="N109" s="67"/>
    </row>
    <row r="110" spans="1:14" ht="12.75" customHeight="1" x14ac:dyDescent="0.25">
      <c r="A110" s="121" t="s">
        <v>461</v>
      </c>
    </row>
    <row r="111" spans="1:14" ht="12.75" customHeight="1" x14ac:dyDescent="0.25">
      <c r="A111" s="121" t="s">
        <v>462</v>
      </c>
    </row>
    <row r="112" spans="1:14" ht="12.75" customHeight="1" x14ac:dyDescent="0.25">
      <c r="A112" s="95" t="s">
        <v>605</v>
      </c>
    </row>
    <row r="113" spans="1:2" ht="12.75" customHeight="1" x14ac:dyDescent="0.25">
      <c r="A113" s="121" t="s">
        <v>828</v>
      </c>
    </row>
    <row r="114" spans="1:2" ht="12.75" customHeight="1" x14ac:dyDescent="0.25">
      <c r="A114" s="121" t="s">
        <v>829</v>
      </c>
    </row>
    <row r="115" spans="1:2" ht="12.75" customHeight="1" x14ac:dyDescent="0.25">
      <c r="A115" s="121" t="s">
        <v>753</v>
      </c>
    </row>
    <row r="116" spans="1:2" ht="12.75" customHeight="1" x14ac:dyDescent="0.25">
      <c r="A116" s="121" t="s">
        <v>754</v>
      </c>
    </row>
    <row r="121" spans="1:2" x14ac:dyDescent="0.25">
      <c r="B121" s="25"/>
    </row>
    <row r="122" spans="1:2" x14ac:dyDescent="0.25">
      <c r="B122" s="25"/>
    </row>
    <row r="123" spans="1:2" x14ac:dyDescent="0.25">
      <c r="B123" s="25"/>
    </row>
    <row r="124" spans="1:2" x14ac:dyDescent="0.25">
      <c r="B124" s="25"/>
    </row>
    <row r="125" spans="1:2" x14ac:dyDescent="0.25">
      <c r="B125" s="25"/>
    </row>
    <row r="126" spans="1:2" x14ac:dyDescent="0.25">
      <c r="B126" s="25"/>
    </row>
    <row r="127" spans="1:2" x14ac:dyDescent="0.25">
      <c r="B127" s="25"/>
    </row>
    <row r="128" spans="1:2" x14ac:dyDescent="0.25">
      <c r="B128" s="25"/>
    </row>
    <row r="129" spans="2:2" x14ac:dyDescent="0.25">
      <c r="B129" s="25"/>
    </row>
    <row r="130" spans="2:2" x14ac:dyDescent="0.25">
      <c r="B130" s="25"/>
    </row>
    <row r="131" spans="2:2" x14ac:dyDescent="0.25">
      <c r="B131" s="25"/>
    </row>
    <row r="132" spans="2:2" x14ac:dyDescent="0.25">
      <c r="B132" s="25"/>
    </row>
    <row r="133" spans="2:2" x14ac:dyDescent="0.25">
      <c r="B133" s="25"/>
    </row>
    <row r="134" spans="2:2" x14ac:dyDescent="0.25">
      <c r="B134" s="25"/>
    </row>
    <row r="135" spans="2:2" x14ac:dyDescent="0.25">
      <c r="B135" s="25"/>
    </row>
    <row r="136" spans="2:2" x14ac:dyDescent="0.25">
      <c r="B136" s="25"/>
    </row>
    <row r="137" spans="2:2" x14ac:dyDescent="0.25">
      <c r="B137" s="25"/>
    </row>
    <row r="138" spans="2:2" x14ac:dyDescent="0.25">
      <c r="B138" s="25"/>
    </row>
    <row r="139" spans="2:2" x14ac:dyDescent="0.25">
      <c r="B139" s="25"/>
    </row>
    <row r="140" spans="2:2" x14ac:dyDescent="0.25">
      <c r="B140" s="25"/>
    </row>
    <row r="141" spans="2:2" x14ac:dyDescent="0.25">
      <c r="B141" s="25"/>
    </row>
    <row r="142" spans="2:2" x14ac:dyDescent="0.25">
      <c r="B142" s="25"/>
    </row>
    <row r="143" spans="2:2" x14ac:dyDescent="0.25">
      <c r="B143" s="25"/>
    </row>
    <row r="144" spans="2:2" x14ac:dyDescent="0.25">
      <c r="B144" s="25"/>
    </row>
    <row r="145" spans="2:2" x14ac:dyDescent="0.25">
      <c r="B145" s="25"/>
    </row>
    <row r="146" spans="2:2" x14ac:dyDescent="0.25">
      <c r="B146" s="25"/>
    </row>
    <row r="147" spans="2:2" x14ac:dyDescent="0.25">
      <c r="B147" s="25"/>
    </row>
    <row r="148" spans="2:2" x14ac:dyDescent="0.25">
      <c r="B148" s="25"/>
    </row>
    <row r="149" spans="2:2" x14ac:dyDescent="0.25">
      <c r="B149" s="25"/>
    </row>
    <row r="150" spans="2:2" x14ac:dyDescent="0.25">
      <c r="B150" s="25"/>
    </row>
    <row r="151" spans="2:2" x14ac:dyDescent="0.25">
      <c r="B151" s="25"/>
    </row>
    <row r="152" spans="2:2" x14ac:dyDescent="0.25">
      <c r="B152" s="25"/>
    </row>
    <row r="153" spans="2:2" x14ac:dyDescent="0.25">
      <c r="B153" s="25"/>
    </row>
    <row r="154" spans="2:2" x14ac:dyDescent="0.25">
      <c r="B154" s="25"/>
    </row>
    <row r="155" spans="2:2" x14ac:dyDescent="0.25">
      <c r="B155" s="25"/>
    </row>
    <row r="156" spans="2:2" x14ac:dyDescent="0.25">
      <c r="B156" s="25"/>
    </row>
    <row r="157" spans="2:2" x14ac:dyDescent="0.25">
      <c r="B157" s="25"/>
    </row>
    <row r="158" spans="2:2" x14ac:dyDescent="0.25">
      <c r="B158" s="25"/>
    </row>
    <row r="159" spans="2:2" x14ac:dyDescent="0.25">
      <c r="B159" s="25"/>
    </row>
    <row r="160" spans="2:2" x14ac:dyDescent="0.25">
      <c r="B160" s="25"/>
    </row>
    <row r="161" spans="2:2" x14ac:dyDescent="0.25">
      <c r="B161" s="25"/>
    </row>
    <row r="162" spans="2:2" x14ac:dyDescent="0.25">
      <c r="B162" s="25"/>
    </row>
    <row r="163" spans="2:2" x14ac:dyDescent="0.25">
      <c r="B163" s="25"/>
    </row>
    <row r="164" spans="2:2" x14ac:dyDescent="0.25">
      <c r="B164" s="25"/>
    </row>
    <row r="165" spans="2:2" x14ac:dyDescent="0.25">
      <c r="B165" s="25"/>
    </row>
    <row r="166" spans="2:2" x14ac:dyDescent="0.25">
      <c r="B166" s="25"/>
    </row>
    <row r="167" spans="2:2" x14ac:dyDescent="0.25">
      <c r="B167" s="25"/>
    </row>
    <row r="168" spans="2:2" x14ac:dyDescent="0.25">
      <c r="B168" s="25"/>
    </row>
    <row r="169" spans="2:2" x14ac:dyDescent="0.25">
      <c r="B169" s="25"/>
    </row>
    <row r="170" spans="2:2" x14ac:dyDescent="0.25">
      <c r="B170" s="25"/>
    </row>
    <row r="171" spans="2:2" x14ac:dyDescent="0.25">
      <c r="B171" s="25"/>
    </row>
    <row r="172" spans="2:2" x14ac:dyDescent="0.25">
      <c r="B172" s="25"/>
    </row>
    <row r="173" spans="2:2" x14ac:dyDescent="0.25">
      <c r="B173" s="25"/>
    </row>
    <row r="174" spans="2:2" x14ac:dyDescent="0.25">
      <c r="B174" s="25"/>
    </row>
    <row r="175" spans="2:2" x14ac:dyDescent="0.25">
      <c r="B175" s="25"/>
    </row>
    <row r="176" spans="2:2" x14ac:dyDescent="0.25">
      <c r="B176" s="25"/>
    </row>
    <row r="177" spans="2:2" x14ac:dyDescent="0.25">
      <c r="B177" s="25"/>
    </row>
    <row r="178" spans="2:2" x14ac:dyDescent="0.25">
      <c r="B178" s="25"/>
    </row>
    <row r="179" spans="2:2" x14ac:dyDescent="0.25">
      <c r="B179" s="25"/>
    </row>
    <row r="180" spans="2:2" x14ac:dyDescent="0.25">
      <c r="B180" s="25"/>
    </row>
    <row r="181" spans="2:2" x14ac:dyDescent="0.25">
      <c r="B181" s="25"/>
    </row>
    <row r="182" spans="2:2" x14ac:dyDescent="0.25">
      <c r="B182" s="25"/>
    </row>
    <row r="183" spans="2:2" x14ac:dyDescent="0.25">
      <c r="B183" s="25"/>
    </row>
    <row r="184" spans="2:2" x14ac:dyDescent="0.25">
      <c r="B184" s="25"/>
    </row>
    <row r="185" spans="2:2" x14ac:dyDescent="0.25">
      <c r="B185" s="25"/>
    </row>
    <row r="186" spans="2:2" x14ac:dyDescent="0.25">
      <c r="B186" s="25"/>
    </row>
    <row r="187" spans="2:2" x14ac:dyDescent="0.25">
      <c r="B187" s="25"/>
    </row>
    <row r="188" spans="2:2" x14ac:dyDescent="0.25">
      <c r="B188" s="25"/>
    </row>
    <row r="189" spans="2:2" x14ac:dyDescent="0.25">
      <c r="B189" s="25"/>
    </row>
    <row r="190" spans="2:2" x14ac:dyDescent="0.25">
      <c r="B190" s="25"/>
    </row>
    <row r="191" spans="2:2" x14ac:dyDescent="0.25">
      <c r="B191" s="25"/>
    </row>
    <row r="192" spans="2:2" x14ac:dyDescent="0.25">
      <c r="B192" s="25"/>
    </row>
    <row r="193" spans="2:2" x14ac:dyDescent="0.25">
      <c r="B193" s="25"/>
    </row>
    <row r="194" spans="2:2" x14ac:dyDescent="0.25">
      <c r="B194" s="25"/>
    </row>
    <row r="195" spans="2:2" x14ac:dyDescent="0.25">
      <c r="B195" s="25"/>
    </row>
  </sheetData>
  <sheetProtection sheet="1" objects="1" scenarios="1"/>
  <mergeCells count="3">
    <mergeCell ref="A2:A3"/>
    <mergeCell ref="B2:B3"/>
    <mergeCell ref="A1:K1"/>
  </mergeCells>
  <phoneticPr fontId="2" type="noConversion"/>
  <printOptions horizontalCentered="1"/>
  <pageMargins left="0.33" right="0.16" top="0.61" bottom="0.61" header="0.51181102362204722" footer="0.41"/>
  <pageSetup paperSize="9" scale="76" orientation="portrait" r:id="rId1"/>
  <headerFooter alignWithMargins="0"/>
  <ignoredErrors>
    <ignoredError sqref="J106"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indexed="42"/>
    <pageSetUpPr fitToPage="1"/>
  </sheetPr>
  <dimension ref="A1:AQ193"/>
  <sheetViews>
    <sheetView showGridLines="0" zoomScaleNormal="100" workbookViewId="0">
      <pane xSplit="2" ySplit="4" topLeftCell="F5" activePane="bottomRight" state="frozen"/>
      <selection pane="topRight"/>
      <selection pane="bottomLeft"/>
      <selection pane="bottomRight" activeCell="U25" sqref="U25"/>
    </sheetView>
  </sheetViews>
  <sheetFormatPr defaultColWidth="9.140625" defaultRowHeight="12.75" x14ac:dyDescent="0.25"/>
  <cols>
    <col min="1" max="1" width="37.140625" style="25" bestFit="1" customWidth="1"/>
    <col min="2" max="2" width="3.140625" style="25" customWidth="1"/>
    <col min="3" max="14" width="7.7109375" style="25" customWidth="1"/>
    <col min="15" max="17" width="8.7109375" style="25" customWidth="1"/>
    <col min="18" max="18" width="9.5703125" style="25" customWidth="1"/>
    <col min="19" max="19" width="9.85546875" style="25" customWidth="1"/>
    <col min="20" max="20" width="9.5703125" style="25" bestFit="1" customWidth="1"/>
    <col min="21" max="24" width="9.85546875" style="25" bestFit="1" customWidth="1"/>
    <col min="25" max="26" width="9.5703125" style="25" bestFit="1" customWidth="1"/>
    <col min="27" max="27" width="9.85546875" style="25" bestFit="1" customWidth="1"/>
    <col min="28" max="16384" width="9.140625" style="25"/>
  </cols>
  <sheetData>
    <row r="1" spans="1:17" ht="13.5" x14ac:dyDescent="0.25">
      <c r="A1" s="162" t="str">
        <f>muni&amp; " - "&amp;S71O&amp; " - "&amp;Head57</f>
        <v>KZN225 Msunduzi - Supporting Table SC9 Monthly Budget Statement - actuals and revised targets for cash receipts - Mid-Year Assessment</v>
      </c>
      <c r="B1" s="68"/>
    </row>
    <row r="2" spans="1:17" ht="25.5" customHeight="1" x14ac:dyDescent="0.25">
      <c r="A2" s="1042" t="str">
        <f>desc</f>
        <v>Description</v>
      </c>
      <c r="B2" s="1035" t="str">
        <f>head27</f>
        <v>Ref</v>
      </c>
      <c r="C2" s="1037" t="str">
        <f>Head2</f>
        <v>Budget Year 2020/21</v>
      </c>
      <c r="D2" s="1038"/>
      <c r="E2" s="1038"/>
      <c r="F2" s="1038"/>
      <c r="G2" s="1038"/>
      <c r="H2" s="1038"/>
      <c r="I2" s="1038"/>
      <c r="J2" s="1038"/>
      <c r="K2" s="1038"/>
      <c r="L2" s="1038"/>
      <c r="M2" s="1038"/>
      <c r="N2" s="1089"/>
      <c r="O2" s="1037" t="str">
        <f>'Template names'!B5</f>
        <v>2020/21 Medium Term Revenue &amp; Expenditure Framework</v>
      </c>
      <c r="P2" s="1038"/>
      <c r="Q2" s="1039"/>
    </row>
    <row r="3" spans="1:17" ht="12.75" customHeight="1" x14ac:dyDescent="0.25">
      <c r="A3" s="1043"/>
      <c r="B3" s="1046"/>
      <c r="C3" s="143" t="s">
        <v>782</v>
      </c>
      <c r="D3" s="27" t="s">
        <v>905</v>
      </c>
      <c r="E3" s="27" t="s">
        <v>3</v>
      </c>
      <c r="F3" s="27" t="s">
        <v>906</v>
      </c>
      <c r="G3" s="27" t="s">
        <v>4</v>
      </c>
      <c r="H3" s="27" t="s">
        <v>5</v>
      </c>
      <c r="I3" s="27" t="s">
        <v>909</v>
      </c>
      <c r="J3" s="27" t="s">
        <v>6</v>
      </c>
      <c r="K3" s="27" t="s">
        <v>911</v>
      </c>
      <c r="L3" s="27" t="s">
        <v>912</v>
      </c>
      <c r="M3" s="27" t="s">
        <v>913</v>
      </c>
      <c r="N3" s="163" t="s">
        <v>914</v>
      </c>
      <c r="O3" s="1087" t="str">
        <f>Head9</f>
        <v>Budget Year 2020/21</v>
      </c>
      <c r="P3" s="1083" t="str">
        <f>Head10</f>
        <v>Budget Year +1 2021/22</v>
      </c>
      <c r="Q3" s="1085" t="str">
        <f>Head11</f>
        <v>Budget Year +2 2022/23</v>
      </c>
    </row>
    <row r="4" spans="1:17" ht="13.5" customHeight="1" x14ac:dyDescent="0.25">
      <c r="A4" s="291" t="s">
        <v>667</v>
      </c>
      <c r="B4" s="248">
        <v>1</v>
      </c>
      <c r="C4" s="790" t="s">
        <v>550</v>
      </c>
      <c r="D4" s="791" t="s">
        <v>550</v>
      </c>
      <c r="E4" s="791" t="s">
        <v>550</v>
      </c>
      <c r="F4" s="791" t="s">
        <v>550</v>
      </c>
      <c r="G4" s="791" t="s">
        <v>550</v>
      </c>
      <c r="H4" s="791" t="s">
        <v>550</v>
      </c>
      <c r="I4" s="791" t="s">
        <v>51</v>
      </c>
      <c r="J4" s="791" t="s">
        <v>51</v>
      </c>
      <c r="K4" s="791" t="s">
        <v>51</v>
      </c>
      <c r="L4" s="791" t="s">
        <v>51</v>
      </c>
      <c r="M4" s="791" t="s">
        <v>51</v>
      </c>
      <c r="N4" s="792" t="s">
        <v>51</v>
      </c>
      <c r="O4" s="1088"/>
      <c r="P4" s="1084"/>
      <c r="Q4" s="1086"/>
    </row>
    <row r="5" spans="1:17" ht="12.75" customHeight="1" x14ac:dyDescent="0.25">
      <c r="A5" s="35" t="s">
        <v>932</v>
      </c>
      <c r="B5" s="38"/>
      <c r="C5" s="258"/>
      <c r="D5" s="238"/>
      <c r="E5" s="238"/>
      <c r="F5" s="238"/>
      <c r="G5" s="238"/>
      <c r="H5" s="238"/>
      <c r="I5" s="238"/>
      <c r="J5" s="238"/>
      <c r="K5" s="238"/>
      <c r="L5" s="238"/>
      <c r="M5" s="238"/>
      <c r="N5" s="316"/>
      <c r="O5" s="237"/>
      <c r="P5" s="238"/>
      <c r="Q5" s="285"/>
    </row>
    <row r="6" spans="1:17" ht="12.75" customHeight="1" x14ac:dyDescent="0.25">
      <c r="A6" s="39" t="s">
        <v>931</v>
      </c>
      <c r="B6" s="40"/>
      <c r="C6" s="753"/>
      <c r="D6" s="733"/>
      <c r="E6" s="733"/>
      <c r="F6" s="733"/>
      <c r="G6" s="733"/>
      <c r="H6" s="733"/>
      <c r="I6" s="733"/>
      <c r="J6" s="733"/>
      <c r="K6" s="733"/>
      <c r="L6" s="733"/>
      <c r="M6" s="733"/>
      <c r="N6" s="108">
        <f t="shared" ref="N6:N20" si="0">O6-SUM(C6:M6)</f>
        <v>1269794594.0217998</v>
      </c>
      <c r="O6" s="745">
        <v>1269794594.0217998</v>
      </c>
      <c r="P6" s="733"/>
      <c r="Q6" s="735"/>
    </row>
    <row r="7" spans="1:17" ht="12.75" customHeight="1" x14ac:dyDescent="0.25">
      <c r="A7" s="39" t="s">
        <v>834</v>
      </c>
      <c r="B7" s="40"/>
      <c r="C7" s="753"/>
      <c r="D7" s="733"/>
      <c r="E7" s="733"/>
      <c r="F7" s="733"/>
      <c r="G7" s="733"/>
      <c r="H7" s="733"/>
      <c r="I7" s="733"/>
      <c r="J7" s="733"/>
      <c r="K7" s="733"/>
      <c r="L7" s="733"/>
      <c r="M7" s="733"/>
      <c r="N7" s="108">
        <f t="shared" si="0"/>
        <v>2584775677.1378117</v>
      </c>
      <c r="O7" s="745">
        <v>2584775677.1378117</v>
      </c>
      <c r="P7" s="733"/>
      <c r="Q7" s="735"/>
    </row>
    <row r="8" spans="1:17" ht="12.75" customHeight="1" x14ac:dyDescent="0.25">
      <c r="A8" s="39" t="s">
        <v>835</v>
      </c>
      <c r="B8" s="40"/>
      <c r="C8" s="753"/>
      <c r="D8" s="733"/>
      <c r="E8" s="733"/>
      <c r="F8" s="733"/>
      <c r="G8" s="733"/>
      <c r="H8" s="733"/>
      <c r="I8" s="733"/>
      <c r="J8" s="733"/>
      <c r="K8" s="733"/>
      <c r="L8" s="733"/>
      <c r="M8" s="733"/>
      <c r="N8" s="108">
        <f t="shared" si="0"/>
        <v>722633094.82360029</v>
      </c>
      <c r="O8" s="745">
        <v>722633094.82360029</v>
      </c>
      <c r="P8" s="733"/>
      <c r="Q8" s="735"/>
    </row>
    <row r="9" spans="1:17" ht="12.75" customHeight="1" x14ac:dyDescent="0.25">
      <c r="A9" s="39" t="s">
        <v>836</v>
      </c>
      <c r="B9" s="40"/>
      <c r="C9" s="753"/>
      <c r="D9" s="733"/>
      <c r="E9" s="733"/>
      <c r="F9" s="733"/>
      <c r="G9" s="733"/>
      <c r="H9" s="733"/>
      <c r="I9" s="733"/>
      <c r="J9" s="733"/>
      <c r="K9" s="733"/>
      <c r="L9" s="733"/>
      <c r="M9" s="733"/>
      <c r="N9" s="108">
        <f t="shared" si="0"/>
        <v>152021749.3608</v>
      </c>
      <c r="O9" s="745">
        <v>152021749.3608</v>
      </c>
      <c r="P9" s="733"/>
      <c r="Q9" s="735"/>
    </row>
    <row r="10" spans="1:17" ht="12.75" customHeight="1" x14ac:dyDescent="0.25">
      <c r="A10" s="39" t="s">
        <v>485</v>
      </c>
      <c r="B10" s="40"/>
      <c r="C10" s="753"/>
      <c r="D10" s="733"/>
      <c r="E10" s="733"/>
      <c r="F10" s="733"/>
      <c r="G10" s="733"/>
      <c r="H10" s="733"/>
      <c r="I10" s="733"/>
      <c r="J10" s="733"/>
      <c r="K10" s="733"/>
      <c r="L10" s="733"/>
      <c r="M10" s="733"/>
      <c r="N10" s="108">
        <f t="shared" si="0"/>
        <v>116333080.9707</v>
      </c>
      <c r="O10" s="745">
        <v>116333080.9707</v>
      </c>
      <c r="P10" s="733"/>
      <c r="Q10" s="735"/>
    </row>
    <row r="11" spans="1:17" ht="0.95" customHeight="1" x14ac:dyDescent="0.25">
      <c r="A11" s="39"/>
      <c r="B11" s="40"/>
      <c r="C11" s="670">
        <v>0</v>
      </c>
      <c r="D11" s="408">
        <v>0</v>
      </c>
      <c r="E11" s="408">
        <v>0</v>
      </c>
      <c r="F11" s="408">
        <v>0</v>
      </c>
      <c r="G11" s="408">
        <v>0</v>
      </c>
      <c r="H11" s="408">
        <v>0</v>
      </c>
      <c r="I11" s="408">
        <v>0</v>
      </c>
      <c r="J11" s="408">
        <v>0</v>
      </c>
      <c r="K11" s="408">
        <v>0</v>
      </c>
      <c r="L11" s="408">
        <v>0</v>
      </c>
      <c r="M11" s="408">
        <v>0</v>
      </c>
      <c r="N11" s="650"/>
      <c r="O11" s="649"/>
      <c r="P11" s="408"/>
      <c r="Q11" s="642"/>
    </row>
    <row r="12" spans="1:17" ht="12.75" customHeight="1" x14ac:dyDescent="0.25">
      <c r="A12" s="39" t="s">
        <v>963</v>
      </c>
      <c r="B12" s="40"/>
      <c r="C12" s="753"/>
      <c r="D12" s="733"/>
      <c r="E12" s="733"/>
      <c r="F12" s="733"/>
      <c r="G12" s="733"/>
      <c r="H12" s="733"/>
      <c r="I12" s="733"/>
      <c r="J12" s="733"/>
      <c r="K12" s="733"/>
      <c r="L12" s="733"/>
      <c r="M12" s="733"/>
      <c r="N12" s="108">
        <f t="shared" si="0"/>
        <v>29078797.626999993</v>
      </c>
      <c r="O12" s="745">
        <v>29078797.626999993</v>
      </c>
      <c r="P12" s="733"/>
      <c r="Q12" s="735"/>
    </row>
    <row r="13" spans="1:17" ht="12.75" customHeight="1" x14ac:dyDescent="0.25">
      <c r="A13" s="39" t="s">
        <v>838</v>
      </c>
      <c r="B13" s="40"/>
      <c r="C13" s="753"/>
      <c r="D13" s="733"/>
      <c r="E13" s="733"/>
      <c r="F13" s="733"/>
      <c r="G13" s="733"/>
      <c r="H13" s="733"/>
      <c r="I13" s="733"/>
      <c r="J13" s="733"/>
      <c r="K13" s="733"/>
      <c r="L13" s="733"/>
      <c r="M13" s="733"/>
      <c r="N13" s="108">
        <f t="shared" si="0"/>
        <v>15260422.42725</v>
      </c>
      <c r="O13" s="745">
        <v>15260422.42725</v>
      </c>
      <c r="P13" s="733"/>
      <c r="Q13" s="735"/>
    </row>
    <row r="14" spans="1:17" ht="12.75" customHeight="1" x14ac:dyDescent="0.25">
      <c r="A14" s="39" t="s">
        <v>839</v>
      </c>
      <c r="B14" s="40"/>
      <c r="C14" s="753"/>
      <c r="D14" s="733"/>
      <c r="E14" s="733"/>
      <c r="F14" s="733"/>
      <c r="G14" s="733"/>
      <c r="H14" s="733"/>
      <c r="I14" s="733"/>
      <c r="J14" s="733"/>
      <c r="K14" s="733"/>
      <c r="L14" s="733"/>
      <c r="M14" s="733"/>
      <c r="N14" s="108">
        <f t="shared" si="0"/>
        <v>202457793.88559997</v>
      </c>
      <c r="O14" s="745">
        <v>202457793.88559997</v>
      </c>
      <c r="P14" s="733"/>
      <c r="Q14" s="735"/>
    </row>
    <row r="15" spans="1:17" ht="12.75" customHeight="1" x14ac:dyDescent="0.25">
      <c r="A15" s="39" t="s">
        <v>921</v>
      </c>
      <c r="B15" s="40"/>
      <c r="C15" s="753"/>
      <c r="D15" s="733"/>
      <c r="E15" s="733"/>
      <c r="F15" s="733"/>
      <c r="G15" s="733"/>
      <c r="H15" s="733"/>
      <c r="I15" s="733"/>
      <c r="J15" s="733"/>
      <c r="K15" s="733"/>
      <c r="L15" s="733"/>
      <c r="M15" s="733"/>
      <c r="N15" s="108">
        <f t="shared" si="0"/>
        <v>0</v>
      </c>
      <c r="O15" s="745"/>
      <c r="P15" s="733"/>
      <c r="Q15" s="735"/>
    </row>
    <row r="16" spans="1:17" ht="12.75" customHeight="1" x14ac:dyDescent="0.25">
      <c r="A16" s="39" t="s">
        <v>1117</v>
      </c>
      <c r="B16" s="40"/>
      <c r="C16" s="753"/>
      <c r="D16" s="733"/>
      <c r="E16" s="733"/>
      <c r="F16" s="733"/>
      <c r="G16" s="733"/>
      <c r="H16" s="733"/>
      <c r="I16" s="733"/>
      <c r="J16" s="733"/>
      <c r="K16" s="733"/>
      <c r="L16" s="733"/>
      <c r="M16" s="733"/>
      <c r="N16" s="108">
        <f t="shared" si="0"/>
        <v>1798551.4436999999</v>
      </c>
      <c r="O16" s="745">
        <v>1798551.4436999999</v>
      </c>
      <c r="P16" s="733"/>
      <c r="Q16" s="735"/>
    </row>
    <row r="17" spans="1:17" ht="12.75" customHeight="1" x14ac:dyDescent="0.25">
      <c r="A17" s="39" t="s">
        <v>840</v>
      </c>
      <c r="B17" s="40"/>
      <c r="C17" s="753"/>
      <c r="D17" s="733"/>
      <c r="E17" s="733"/>
      <c r="F17" s="733"/>
      <c r="G17" s="733"/>
      <c r="H17" s="733"/>
      <c r="I17" s="733"/>
      <c r="J17" s="733"/>
      <c r="K17" s="733"/>
      <c r="L17" s="733"/>
      <c r="M17" s="733"/>
      <c r="N17" s="108">
        <f t="shared" si="0"/>
        <v>1119569.0055</v>
      </c>
      <c r="O17" s="745">
        <v>1119569.0055</v>
      </c>
      <c r="P17" s="733"/>
      <c r="Q17" s="735"/>
    </row>
    <row r="18" spans="1:17" ht="12.75" customHeight="1" x14ac:dyDescent="0.25">
      <c r="A18" s="39" t="s">
        <v>580</v>
      </c>
      <c r="B18" s="40"/>
      <c r="C18" s="753"/>
      <c r="D18" s="733"/>
      <c r="E18" s="733"/>
      <c r="F18" s="733"/>
      <c r="G18" s="733"/>
      <c r="H18" s="733"/>
      <c r="I18" s="733"/>
      <c r="J18" s="733"/>
      <c r="K18" s="733"/>
      <c r="L18" s="733"/>
      <c r="M18" s="733"/>
      <c r="N18" s="108">
        <f t="shared" si="0"/>
        <v>601902.02599999995</v>
      </c>
      <c r="O18" s="745">
        <v>601902.02599999995</v>
      </c>
      <c r="P18" s="733"/>
      <c r="Q18" s="735"/>
    </row>
    <row r="19" spans="1:17" ht="12.75" customHeight="1" x14ac:dyDescent="0.25">
      <c r="A19" s="992" t="s">
        <v>1372</v>
      </c>
      <c r="B19" s="40"/>
      <c r="C19" s="753"/>
      <c r="D19" s="733"/>
      <c r="E19" s="733"/>
      <c r="F19" s="733"/>
      <c r="G19" s="733"/>
      <c r="H19" s="733"/>
      <c r="I19" s="733"/>
      <c r="J19" s="733"/>
      <c r="K19" s="733"/>
      <c r="L19" s="733"/>
      <c r="M19" s="733"/>
      <c r="N19" s="108">
        <f t="shared" si="0"/>
        <v>675483240</v>
      </c>
      <c r="O19" s="745">
        <v>675483240</v>
      </c>
      <c r="P19" s="733"/>
      <c r="Q19" s="735"/>
    </row>
    <row r="20" spans="1:17" ht="12.75" customHeight="1" x14ac:dyDescent="0.25">
      <c r="A20" s="39" t="s">
        <v>453</v>
      </c>
      <c r="B20" s="40"/>
      <c r="C20" s="753"/>
      <c r="D20" s="733"/>
      <c r="E20" s="733"/>
      <c r="F20" s="733"/>
      <c r="G20" s="733"/>
      <c r="H20" s="733"/>
      <c r="I20" s="733"/>
      <c r="J20" s="733"/>
      <c r="K20" s="733"/>
      <c r="L20" s="733"/>
      <c r="M20" s="733"/>
      <c r="N20" s="108">
        <f t="shared" si="0"/>
        <v>146451785.14229998</v>
      </c>
      <c r="O20" s="745">
        <v>146451785.14229998</v>
      </c>
      <c r="P20" s="733"/>
      <c r="Q20" s="735"/>
    </row>
    <row r="21" spans="1:17" ht="12.75" customHeight="1" x14ac:dyDescent="0.25">
      <c r="A21" s="88" t="s">
        <v>933</v>
      </c>
      <c r="B21" s="52"/>
      <c r="C21" s="475">
        <v>0</v>
      </c>
      <c r="D21" s="430">
        <v>0</v>
      </c>
      <c r="E21" s="430">
        <v>0</v>
      </c>
      <c r="F21" s="430">
        <v>0</v>
      </c>
      <c r="G21" s="430">
        <v>0</v>
      </c>
      <c r="H21" s="430">
        <v>0</v>
      </c>
      <c r="I21" s="430">
        <v>0</v>
      </c>
      <c r="J21" s="430">
        <v>0</v>
      </c>
      <c r="K21" s="430">
        <v>0</v>
      </c>
      <c r="L21" s="430">
        <v>0</v>
      </c>
      <c r="M21" s="430">
        <v>0</v>
      </c>
      <c r="N21" s="508">
        <f>SUM(N6:N10)+SUM(N12:N20)</f>
        <v>5917810257.8720617</v>
      </c>
      <c r="O21" s="475">
        <v>0</v>
      </c>
      <c r="P21" s="430">
        <f>SUM(P6:P10)+SUM(P12:P20)</f>
        <v>0</v>
      </c>
      <c r="Q21" s="513">
        <f>SUM(Q6:Q10)+SUM(Q12:Q20)</f>
        <v>0</v>
      </c>
    </row>
    <row r="22" spans="1:17" ht="5.0999999999999996" customHeight="1" x14ac:dyDescent="0.25">
      <c r="A22" s="105"/>
      <c r="B22" s="40"/>
      <c r="C22" s="258"/>
      <c r="D22" s="44"/>
      <c r="E22" s="44"/>
      <c r="F22" s="44"/>
      <c r="G22" s="44"/>
      <c r="H22" s="44"/>
      <c r="I22" s="44"/>
      <c r="J22" s="44"/>
      <c r="K22" s="44"/>
      <c r="L22" s="44"/>
      <c r="M22" s="44"/>
      <c r="N22" s="108">
        <f t="shared" ref="N22:N32" si="1">O22-SUM(C22:M22)</f>
        <v>0</v>
      </c>
      <c r="O22" s="46"/>
      <c r="P22" s="44"/>
      <c r="Q22" s="144"/>
    </row>
    <row r="23" spans="1:17" ht="12.75" customHeight="1" x14ac:dyDescent="0.25">
      <c r="A23" s="314" t="s">
        <v>723</v>
      </c>
      <c r="B23" s="40"/>
      <c r="C23" s="258"/>
      <c r="D23" s="44"/>
      <c r="E23" s="44"/>
      <c r="F23" s="44"/>
      <c r="G23" s="44"/>
      <c r="H23" s="44"/>
      <c r="I23" s="44"/>
      <c r="J23" s="44"/>
      <c r="K23" s="44"/>
      <c r="L23" s="44"/>
      <c r="M23" s="44"/>
      <c r="N23" s="108">
        <f t="shared" si="1"/>
        <v>0</v>
      </c>
      <c r="O23" s="46"/>
      <c r="P23" s="44"/>
      <c r="Q23" s="144"/>
    </row>
    <row r="24" spans="1:17" s="987" customFormat="1" ht="22.9" customHeight="1" x14ac:dyDescent="0.2">
      <c r="A24" s="993" t="str">
        <f>'C4-FinPerf RE'!A39</f>
        <v>Transfers and subsidies - capital (monetary allocations) (National / Provincial and District)</v>
      </c>
      <c r="B24" s="994"/>
      <c r="C24" s="995"/>
      <c r="D24" s="996"/>
      <c r="E24" s="996"/>
      <c r="F24" s="996"/>
      <c r="G24" s="996"/>
      <c r="H24" s="996"/>
      <c r="I24" s="996"/>
      <c r="J24" s="996"/>
      <c r="K24" s="996"/>
      <c r="L24" s="996"/>
      <c r="M24" s="996"/>
      <c r="N24" s="997">
        <f t="shared" si="1"/>
        <v>525891580.99999982</v>
      </c>
      <c r="O24" s="998">
        <v>525891580.99999982</v>
      </c>
      <c r="P24" s="996"/>
      <c r="Q24" s="999"/>
    </row>
    <row r="25" spans="1:17" s="987" customFormat="1" ht="42.6" customHeight="1" x14ac:dyDescent="0.2">
      <c r="A25" s="993" t="str">
        <f>'C4-FinPerf RE'!A40</f>
        <v>Transfers and subsidies - capital (monetary allocations) (National / Provincial Departmental Agencies, Households, Non-profit Institutions, Private Enterprises, Public Corporatons, Higher Educational Institutions)</v>
      </c>
      <c r="B25" s="994"/>
      <c r="C25" s="995"/>
      <c r="D25" s="996"/>
      <c r="E25" s="996"/>
      <c r="F25" s="996"/>
      <c r="G25" s="996"/>
      <c r="H25" s="996"/>
      <c r="I25" s="996"/>
      <c r="J25" s="996"/>
      <c r="K25" s="996"/>
      <c r="L25" s="996"/>
      <c r="M25" s="996"/>
      <c r="N25" s="997">
        <f t="shared" si="1"/>
        <v>0</v>
      </c>
      <c r="O25" s="998"/>
      <c r="P25" s="996"/>
      <c r="Q25" s="999"/>
    </row>
    <row r="26" spans="1:17" ht="12.75" customHeight="1" x14ac:dyDescent="0.25">
      <c r="A26" s="992" t="s">
        <v>1374</v>
      </c>
      <c r="B26" s="40"/>
      <c r="C26" s="753"/>
      <c r="D26" s="733"/>
      <c r="E26" s="733"/>
      <c r="F26" s="733"/>
      <c r="G26" s="733"/>
      <c r="H26" s="733"/>
      <c r="I26" s="733"/>
      <c r="J26" s="733"/>
      <c r="K26" s="733"/>
      <c r="L26" s="733"/>
      <c r="M26" s="733"/>
      <c r="N26" s="108">
        <f t="shared" si="1"/>
        <v>0</v>
      </c>
      <c r="O26" s="745"/>
      <c r="P26" s="733"/>
      <c r="Q26" s="735"/>
    </row>
    <row r="27" spans="1:17" ht="12.75" customHeight="1" x14ac:dyDescent="0.25">
      <c r="A27" s="39" t="s">
        <v>900</v>
      </c>
      <c r="B27" s="40"/>
      <c r="C27" s="753"/>
      <c r="D27" s="733"/>
      <c r="E27" s="733"/>
      <c r="F27" s="733"/>
      <c r="G27" s="733"/>
      <c r="H27" s="733"/>
      <c r="I27" s="733"/>
      <c r="J27" s="733"/>
      <c r="K27" s="733"/>
      <c r="L27" s="733"/>
      <c r="M27" s="733"/>
      <c r="N27" s="108">
        <f t="shared" si="1"/>
        <v>0</v>
      </c>
      <c r="O27" s="745"/>
      <c r="P27" s="733"/>
      <c r="Q27" s="735"/>
    </row>
    <row r="28" spans="1:17" ht="12.75" customHeight="1" x14ac:dyDescent="0.25">
      <c r="A28" s="39" t="s">
        <v>958</v>
      </c>
      <c r="B28" s="40"/>
      <c r="C28" s="753"/>
      <c r="D28" s="733"/>
      <c r="E28" s="733"/>
      <c r="F28" s="733"/>
      <c r="G28" s="733"/>
      <c r="H28" s="733"/>
      <c r="I28" s="733"/>
      <c r="J28" s="733"/>
      <c r="K28" s="733"/>
      <c r="L28" s="733"/>
      <c r="M28" s="733"/>
      <c r="N28" s="108">
        <f t="shared" si="1"/>
        <v>0</v>
      </c>
      <c r="O28" s="745"/>
      <c r="P28" s="733"/>
      <c r="Q28" s="735"/>
    </row>
    <row r="29" spans="1:17" ht="12.75" customHeight="1" x14ac:dyDescent="0.25">
      <c r="A29" s="39" t="s">
        <v>70</v>
      </c>
      <c r="B29" s="40"/>
      <c r="C29" s="753"/>
      <c r="D29" s="733"/>
      <c r="E29" s="733"/>
      <c r="F29" s="733"/>
      <c r="G29" s="733"/>
      <c r="H29" s="733"/>
      <c r="I29" s="733"/>
      <c r="J29" s="733"/>
      <c r="K29" s="733"/>
      <c r="L29" s="733"/>
      <c r="M29" s="733"/>
      <c r="N29" s="108">
        <f t="shared" si="1"/>
        <v>0</v>
      </c>
      <c r="O29" s="745"/>
      <c r="P29" s="733"/>
      <c r="Q29" s="735"/>
    </row>
    <row r="30" spans="1:17" ht="12.75" hidden="1" customHeight="1" x14ac:dyDescent="0.25">
      <c r="A30" s="39"/>
      <c r="B30" s="40"/>
      <c r="C30" s="670"/>
      <c r="D30" s="408"/>
      <c r="E30" s="408"/>
      <c r="F30" s="408"/>
      <c r="G30" s="408"/>
      <c r="H30" s="408"/>
      <c r="I30" s="408"/>
      <c r="J30" s="408"/>
      <c r="K30" s="408"/>
      <c r="L30" s="408"/>
      <c r="M30" s="408"/>
      <c r="N30" s="650"/>
      <c r="O30" s="649"/>
      <c r="P30" s="408"/>
      <c r="Q30" s="642"/>
    </row>
    <row r="31" spans="1:17" ht="12.75" customHeight="1" x14ac:dyDescent="0.25">
      <c r="A31" s="39" t="s">
        <v>1371</v>
      </c>
      <c r="B31" s="40"/>
      <c r="C31" s="753"/>
      <c r="D31" s="733"/>
      <c r="E31" s="733"/>
      <c r="F31" s="733"/>
      <c r="G31" s="733"/>
      <c r="H31" s="733"/>
      <c r="I31" s="733"/>
      <c r="J31" s="733"/>
      <c r="K31" s="733"/>
      <c r="L31" s="733"/>
      <c r="M31" s="733"/>
      <c r="N31" s="108">
        <f t="shared" si="1"/>
        <v>0</v>
      </c>
      <c r="O31" s="745"/>
      <c r="P31" s="733"/>
      <c r="Q31" s="735"/>
    </row>
    <row r="32" spans="1:17" ht="12.75" customHeight="1" x14ac:dyDescent="0.25">
      <c r="A32" s="39" t="s">
        <v>888</v>
      </c>
      <c r="B32" s="40"/>
      <c r="C32" s="753"/>
      <c r="D32" s="733"/>
      <c r="E32" s="733"/>
      <c r="F32" s="733"/>
      <c r="G32" s="733"/>
      <c r="H32" s="733"/>
      <c r="I32" s="733"/>
      <c r="J32" s="733"/>
      <c r="K32" s="733"/>
      <c r="L32" s="733"/>
      <c r="M32" s="733"/>
      <c r="N32" s="108">
        <f t="shared" si="1"/>
        <v>0</v>
      </c>
      <c r="O32" s="745"/>
      <c r="P32" s="733"/>
      <c r="Q32" s="735"/>
    </row>
    <row r="33" spans="1:17" ht="12.75" customHeight="1" x14ac:dyDescent="0.25">
      <c r="A33" s="318" t="s">
        <v>916</v>
      </c>
      <c r="B33" s="319"/>
      <c r="C33" s="260">
        <f>SUM(C21:C29)+SUM(C31:C32)</f>
        <v>0</v>
      </c>
      <c r="D33" s="73">
        <f t="shared" ref="D33:Q33" si="2">SUM(D21:D29)+SUM(D31:D32)</f>
        <v>0</v>
      </c>
      <c r="E33" s="73">
        <f t="shared" si="2"/>
        <v>0</v>
      </c>
      <c r="F33" s="73">
        <f t="shared" si="2"/>
        <v>0</v>
      </c>
      <c r="G33" s="73">
        <f t="shared" si="2"/>
        <v>0</v>
      </c>
      <c r="H33" s="73">
        <f t="shared" si="2"/>
        <v>0</v>
      </c>
      <c r="I33" s="73">
        <f t="shared" si="2"/>
        <v>0</v>
      </c>
      <c r="J33" s="73">
        <f t="shared" si="2"/>
        <v>0</v>
      </c>
      <c r="K33" s="73">
        <f t="shared" si="2"/>
        <v>0</v>
      </c>
      <c r="L33" s="73">
        <f t="shared" si="2"/>
        <v>0</v>
      </c>
      <c r="M33" s="73">
        <f t="shared" si="2"/>
        <v>0</v>
      </c>
      <c r="N33" s="320">
        <f t="shared" si="2"/>
        <v>6443701838.8720617</v>
      </c>
      <c r="O33" s="74">
        <f t="shared" si="2"/>
        <v>525891580.99999982</v>
      </c>
      <c r="P33" s="73">
        <f t="shared" si="2"/>
        <v>0</v>
      </c>
      <c r="Q33" s="145">
        <f t="shared" si="2"/>
        <v>0</v>
      </c>
    </row>
    <row r="34" spans="1:17" ht="5.0999999999999996" customHeight="1" x14ac:dyDescent="0.25">
      <c r="A34" s="185"/>
      <c r="B34" s="40"/>
      <c r="C34" s="258"/>
      <c r="D34" s="44"/>
      <c r="E34" s="44"/>
      <c r="F34" s="44"/>
      <c r="G34" s="44"/>
      <c r="H34" s="44"/>
      <c r="I34" s="44"/>
      <c r="J34" s="44"/>
      <c r="K34" s="44"/>
      <c r="L34" s="44"/>
      <c r="M34" s="44"/>
      <c r="N34" s="108">
        <f t="shared" ref="N34:N45" si="3">O34-SUM(C34:M34)</f>
        <v>0</v>
      </c>
      <c r="O34" s="46"/>
      <c r="P34" s="44"/>
      <c r="Q34" s="144"/>
    </row>
    <row r="35" spans="1:17" ht="12.75" customHeight="1" x14ac:dyDescent="0.25">
      <c r="A35" s="35" t="s">
        <v>934</v>
      </c>
      <c r="B35" s="40"/>
      <c r="C35" s="258"/>
      <c r="D35" s="44"/>
      <c r="E35" s="44"/>
      <c r="F35" s="44"/>
      <c r="G35" s="44"/>
      <c r="H35" s="44"/>
      <c r="I35" s="44"/>
      <c r="J35" s="44"/>
      <c r="K35" s="44"/>
      <c r="L35" s="44"/>
      <c r="M35" s="44"/>
      <c r="N35" s="108">
        <f t="shared" si="3"/>
        <v>0</v>
      </c>
      <c r="O35" s="46"/>
      <c r="P35" s="44"/>
      <c r="Q35" s="144"/>
    </row>
    <row r="36" spans="1:17" ht="12.75" customHeight="1" x14ac:dyDescent="0.25">
      <c r="A36" s="39" t="s">
        <v>841</v>
      </c>
      <c r="B36" s="40"/>
      <c r="C36" s="753"/>
      <c r="D36" s="733"/>
      <c r="E36" s="733"/>
      <c r="F36" s="733"/>
      <c r="G36" s="733"/>
      <c r="H36" s="733"/>
      <c r="I36" s="733"/>
      <c r="J36" s="733"/>
      <c r="K36" s="733"/>
      <c r="L36" s="733"/>
      <c r="M36" s="733"/>
      <c r="N36" s="108">
        <f t="shared" si="3"/>
        <v>1467373084.0741799</v>
      </c>
      <c r="O36" s="745">
        <v>1467373084.0741799</v>
      </c>
      <c r="P36" s="733"/>
      <c r="Q36" s="735"/>
    </row>
    <row r="37" spans="1:17" ht="12.75" customHeight="1" x14ac:dyDescent="0.25">
      <c r="A37" s="39" t="s">
        <v>477</v>
      </c>
      <c r="B37" s="40"/>
      <c r="C37" s="753"/>
      <c r="D37" s="733"/>
      <c r="E37" s="733"/>
      <c r="F37" s="733"/>
      <c r="G37" s="733"/>
      <c r="H37" s="733"/>
      <c r="I37" s="733"/>
      <c r="J37" s="733"/>
      <c r="K37" s="733"/>
      <c r="L37" s="733"/>
      <c r="M37" s="733"/>
      <c r="N37" s="108">
        <f t="shared" si="3"/>
        <v>53650401.115479976</v>
      </c>
      <c r="O37" s="745">
        <v>53650401.115479976</v>
      </c>
      <c r="P37" s="733"/>
      <c r="Q37" s="735"/>
    </row>
    <row r="38" spans="1:17" ht="12.75" customHeight="1" x14ac:dyDescent="0.25">
      <c r="A38" s="39" t="s">
        <v>843</v>
      </c>
      <c r="B38" s="40"/>
      <c r="C38" s="753"/>
      <c r="D38" s="733"/>
      <c r="E38" s="733"/>
      <c r="F38" s="733"/>
      <c r="G38" s="733"/>
      <c r="H38" s="733"/>
      <c r="I38" s="733"/>
      <c r="J38" s="733"/>
      <c r="K38" s="733"/>
      <c r="L38" s="733"/>
      <c r="M38" s="733"/>
      <c r="N38" s="108">
        <f t="shared" si="3"/>
        <v>123904143.27200001</v>
      </c>
      <c r="O38" s="745">
        <v>123904143.27200001</v>
      </c>
      <c r="P38" s="733"/>
      <c r="Q38" s="735"/>
    </row>
    <row r="39" spans="1:17" ht="12.75" customHeight="1" x14ac:dyDescent="0.25">
      <c r="A39" s="39" t="s">
        <v>915</v>
      </c>
      <c r="B39" s="40"/>
      <c r="C39" s="753"/>
      <c r="D39" s="733"/>
      <c r="E39" s="733"/>
      <c r="F39" s="733"/>
      <c r="G39" s="733"/>
      <c r="H39" s="733"/>
      <c r="I39" s="733"/>
      <c r="J39" s="733"/>
      <c r="K39" s="733"/>
      <c r="L39" s="733"/>
      <c r="M39" s="733"/>
      <c r="N39" s="108">
        <f t="shared" si="3"/>
        <v>488991448.27473986</v>
      </c>
      <c r="O39" s="745">
        <v>488991448.27473986</v>
      </c>
      <c r="P39" s="733"/>
      <c r="Q39" s="735"/>
    </row>
    <row r="40" spans="1:17" ht="12.75" customHeight="1" x14ac:dyDescent="0.25">
      <c r="A40" s="86" t="s">
        <v>918</v>
      </c>
      <c r="B40" s="40"/>
      <c r="C40" s="753"/>
      <c r="D40" s="733"/>
      <c r="E40" s="733"/>
      <c r="F40" s="733"/>
      <c r="G40" s="733"/>
      <c r="H40" s="733"/>
      <c r="I40" s="733"/>
      <c r="J40" s="733"/>
      <c r="K40" s="733"/>
      <c r="L40" s="733"/>
      <c r="M40" s="733"/>
      <c r="N40" s="108">
        <f t="shared" si="3"/>
        <v>31793212.220000003</v>
      </c>
      <c r="O40" s="745">
        <v>31793212.220000003</v>
      </c>
      <c r="P40" s="733"/>
      <c r="Q40" s="735"/>
    </row>
    <row r="41" spans="1:17" ht="12.75" customHeight="1" x14ac:dyDescent="0.25">
      <c r="A41" s="86" t="s">
        <v>920</v>
      </c>
      <c r="B41" s="40"/>
      <c r="C41" s="753"/>
      <c r="D41" s="733"/>
      <c r="E41" s="733"/>
      <c r="F41" s="733"/>
      <c r="G41" s="733"/>
      <c r="H41" s="733"/>
      <c r="I41" s="733"/>
      <c r="J41" s="733"/>
      <c r="K41" s="733"/>
      <c r="L41" s="733"/>
      <c r="M41" s="733"/>
      <c r="N41" s="108">
        <f t="shared" si="3"/>
        <v>2608224084.5041752</v>
      </c>
      <c r="O41" s="745">
        <v>2608224084.5041752</v>
      </c>
      <c r="P41" s="733"/>
      <c r="Q41" s="735"/>
    </row>
    <row r="42" spans="1:17" ht="12.75" customHeight="1" x14ac:dyDescent="0.25">
      <c r="A42" s="86" t="s">
        <v>845</v>
      </c>
      <c r="B42" s="40"/>
      <c r="C42" s="753"/>
      <c r="D42" s="733"/>
      <c r="E42" s="733"/>
      <c r="F42" s="733"/>
      <c r="G42" s="733"/>
      <c r="H42" s="733"/>
      <c r="I42" s="733"/>
      <c r="J42" s="733"/>
      <c r="K42" s="733"/>
      <c r="L42" s="733"/>
      <c r="M42" s="733"/>
      <c r="N42" s="108">
        <f t="shared" si="3"/>
        <v>46574816.042614385</v>
      </c>
      <c r="O42" s="745">
        <v>46574816.042614385</v>
      </c>
      <c r="P42" s="733"/>
      <c r="Q42" s="735"/>
    </row>
    <row r="43" spans="1:17" ht="12.75" customHeight="1" x14ac:dyDescent="0.25">
      <c r="A43" s="86" t="s">
        <v>924</v>
      </c>
      <c r="B43" s="40"/>
      <c r="C43" s="753"/>
      <c r="D43" s="733"/>
      <c r="E43" s="733"/>
      <c r="F43" s="733"/>
      <c r="G43" s="733"/>
      <c r="H43" s="733"/>
      <c r="I43" s="733"/>
      <c r="J43" s="733"/>
      <c r="K43" s="733"/>
      <c r="L43" s="733"/>
      <c r="M43" s="733"/>
      <c r="N43" s="108">
        <f t="shared" si="3"/>
        <v>463787100.72254992</v>
      </c>
      <c r="O43" s="745">
        <v>463787100.72254992</v>
      </c>
      <c r="P43" s="733"/>
      <c r="Q43" s="735"/>
    </row>
    <row r="44" spans="1:17" ht="12.75" customHeight="1" x14ac:dyDescent="0.25">
      <c r="A44" s="86" t="s">
        <v>925</v>
      </c>
      <c r="B44" s="40"/>
      <c r="C44" s="753"/>
      <c r="D44" s="733"/>
      <c r="E44" s="733"/>
      <c r="F44" s="733"/>
      <c r="G44" s="733"/>
      <c r="H44" s="733"/>
      <c r="I44" s="733"/>
      <c r="J44" s="733"/>
      <c r="K44" s="733"/>
      <c r="L44" s="733"/>
      <c r="M44" s="733"/>
      <c r="N44" s="108">
        <f t="shared" si="3"/>
        <v>25080461.44304001</v>
      </c>
      <c r="O44" s="745">
        <v>25080461.44304001</v>
      </c>
      <c r="P44" s="733"/>
      <c r="Q44" s="735"/>
    </row>
    <row r="45" spans="1:17" ht="12.75" customHeight="1" x14ac:dyDescent="0.25">
      <c r="A45" s="86" t="s">
        <v>846</v>
      </c>
      <c r="B45" s="40"/>
      <c r="C45" s="753"/>
      <c r="D45" s="733"/>
      <c r="E45" s="733"/>
      <c r="F45" s="733"/>
      <c r="G45" s="733"/>
      <c r="H45" s="733"/>
      <c r="I45" s="733"/>
      <c r="J45" s="733"/>
      <c r="K45" s="733"/>
      <c r="L45" s="733"/>
      <c r="M45" s="733"/>
      <c r="N45" s="108">
        <f t="shared" si="3"/>
        <v>192585810.36394995</v>
      </c>
      <c r="O45" s="745">
        <v>192585810.36394995</v>
      </c>
      <c r="P45" s="733"/>
      <c r="Q45" s="735"/>
    </row>
    <row r="46" spans="1:17" ht="12.75" customHeight="1" x14ac:dyDescent="0.25">
      <c r="A46" s="88" t="s">
        <v>934</v>
      </c>
      <c r="B46" s="52">
        <f>SUM(B36:B45)</f>
        <v>0</v>
      </c>
      <c r="C46" s="475"/>
      <c r="D46" s="430"/>
      <c r="E46" s="430"/>
      <c r="F46" s="430"/>
      <c r="G46" s="430"/>
      <c r="H46" s="430"/>
      <c r="I46" s="430"/>
      <c r="J46" s="430"/>
      <c r="K46" s="430"/>
      <c r="L46" s="430"/>
      <c r="M46" s="430"/>
      <c r="N46" s="508">
        <f>SUM(N36:N45)</f>
        <v>5501964562.0327282</v>
      </c>
      <c r="O46" s="475">
        <v>0</v>
      </c>
      <c r="P46" s="430">
        <f>SUM(P36:P45)</f>
        <v>0</v>
      </c>
      <c r="Q46" s="513">
        <f>SUM(Q36:Q45)</f>
        <v>0</v>
      </c>
    </row>
    <row r="47" spans="1:17" ht="5.0999999999999996" customHeight="1" x14ac:dyDescent="0.25">
      <c r="A47" s="105"/>
      <c r="B47" s="40"/>
      <c r="C47" s="258"/>
      <c r="D47" s="44"/>
      <c r="E47" s="44"/>
      <c r="F47" s="44"/>
      <c r="G47" s="44"/>
      <c r="H47" s="44"/>
      <c r="I47" s="44"/>
      <c r="J47" s="44"/>
      <c r="K47" s="44"/>
      <c r="L47" s="44"/>
      <c r="M47" s="44"/>
      <c r="N47" s="108">
        <f>O47-SUM(C47:M47)</f>
        <v>0</v>
      </c>
      <c r="O47" s="46"/>
      <c r="P47" s="44"/>
      <c r="Q47" s="144"/>
    </row>
    <row r="48" spans="1:17" ht="12.75" customHeight="1" x14ac:dyDescent="0.25">
      <c r="A48" s="88" t="s">
        <v>668</v>
      </c>
      <c r="B48" s="40"/>
      <c r="C48" s="258"/>
      <c r="D48" s="44"/>
      <c r="E48" s="44"/>
      <c r="F48" s="44"/>
      <c r="G48" s="44"/>
      <c r="H48" s="44"/>
      <c r="I48" s="44"/>
      <c r="J48" s="44"/>
      <c r="K48" s="44"/>
      <c r="L48" s="44"/>
      <c r="M48" s="44"/>
      <c r="N48" s="108"/>
      <c r="O48" s="46"/>
      <c r="P48" s="44"/>
      <c r="Q48" s="144"/>
    </row>
    <row r="49" spans="1:17" ht="12.75" customHeight="1" x14ac:dyDescent="0.25">
      <c r="A49" s="86" t="s">
        <v>697</v>
      </c>
      <c r="B49" s="40"/>
      <c r="C49" s="753"/>
      <c r="D49" s="733"/>
      <c r="E49" s="733"/>
      <c r="F49" s="733"/>
      <c r="G49" s="733"/>
      <c r="H49" s="733"/>
      <c r="I49" s="733"/>
      <c r="J49" s="733"/>
      <c r="K49" s="733"/>
      <c r="L49" s="733"/>
      <c r="M49" s="733"/>
      <c r="N49" s="108">
        <f>O49-SUM(C49:M49)</f>
        <v>0</v>
      </c>
      <c r="O49" s="745"/>
      <c r="P49" s="733"/>
      <c r="Q49" s="735"/>
    </row>
    <row r="50" spans="1:17" ht="12.75" customHeight="1" x14ac:dyDescent="0.25">
      <c r="A50" s="86" t="s">
        <v>899</v>
      </c>
      <c r="B50" s="40"/>
      <c r="C50" s="753"/>
      <c r="D50" s="733"/>
      <c r="E50" s="733"/>
      <c r="F50" s="733"/>
      <c r="G50" s="733"/>
      <c r="H50" s="733"/>
      <c r="I50" s="733"/>
      <c r="J50" s="733"/>
      <c r="K50" s="733"/>
      <c r="L50" s="733"/>
      <c r="M50" s="733"/>
      <c r="N50" s="108">
        <f>O50-SUM(C50:M50)</f>
        <v>0</v>
      </c>
      <c r="O50" s="745"/>
      <c r="P50" s="733"/>
      <c r="Q50" s="735"/>
    </row>
    <row r="51" spans="1:17" ht="12.75" customHeight="1" x14ac:dyDescent="0.25">
      <c r="A51" s="86" t="s">
        <v>2</v>
      </c>
      <c r="B51" s="40"/>
      <c r="C51" s="753"/>
      <c r="D51" s="733"/>
      <c r="E51" s="733"/>
      <c r="F51" s="733"/>
      <c r="G51" s="733"/>
      <c r="H51" s="733"/>
      <c r="I51" s="733"/>
      <c r="J51" s="733"/>
      <c r="K51" s="733"/>
      <c r="L51" s="733"/>
      <c r="M51" s="733"/>
      <c r="N51" s="108">
        <f>O51-SUM(C51:M51)</f>
        <v>0</v>
      </c>
      <c r="O51" s="745"/>
      <c r="P51" s="733"/>
      <c r="Q51" s="735"/>
    </row>
    <row r="52" spans="1:17" ht="12.75" customHeight="1" x14ac:dyDescent="0.25">
      <c r="A52" s="318" t="s">
        <v>917</v>
      </c>
      <c r="B52" s="319">
        <f t="shared" ref="B52:Q52" si="4">SUM(B46:B51)</f>
        <v>0</v>
      </c>
      <c r="C52" s="260">
        <f t="shared" si="4"/>
        <v>0</v>
      </c>
      <c r="D52" s="73">
        <f t="shared" si="4"/>
        <v>0</v>
      </c>
      <c r="E52" s="73">
        <f t="shared" si="4"/>
        <v>0</v>
      </c>
      <c r="F52" s="73">
        <f t="shared" si="4"/>
        <v>0</v>
      </c>
      <c r="G52" s="73">
        <f t="shared" si="4"/>
        <v>0</v>
      </c>
      <c r="H52" s="73">
        <f t="shared" si="4"/>
        <v>0</v>
      </c>
      <c r="I52" s="73">
        <f t="shared" si="4"/>
        <v>0</v>
      </c>
      <c r="J52" s="73">
        <f t="shared" si="4"/>
        <v>0</v>
      </c>
      <c r="K52" s="73">
        <f t="shared" si="4"/>
        <v>0</v>
      </c>
      <c r="L52" s="73">
        <f t="shared" si="4"/>
        <v>0</v>
      </c>
      <c r="M52" s="73">
        <f t="shared" si="4"/>
        <v>0</v>
      </c>
      <c r="N52" s="320">
        <f t="shared" si="4"/>
        <v>5501964562.0327282</v>
      </c>
      <c r="O52" s="74">
        <f t="shared" si="4"/>
        <v>0</v>
      </c>
      <c r="P52" s="73">
        <f t="shared" si="4"/>
        <v>0</v>
      </c>
      <c r="Q52" s="145">
        <f t="shared" si="4"/>
        <v>0</v>
      </c>
    </row>
    <row r="53" spans="1:17" ht="5.0999999999999996" customHeight="1" x14ac:dyDescent="0.25">
      <c r="A53" s="105"/>
      <c r="B53" s="40"/>
      <c r="C53" s="258"/>
      <c r="D53" s="44"/>
      <c r="E53" s="44"/>
      <c r="F53" s="44"/>
      <c r="G53" s="44"/>
      <c r="H53" s="44"/>
      <c r="I53" s="44"/>
      <c r="J53" s="44"/>
      <c r="K53" s="44"/>
      <c r="L53" s="44"/>
      <c r="M53" s="44"/>
      <c r="N53" s="108">
        <f>O53-SUM(C53:M53)</f>
        <v>0</v>
      </c>
      <c r="O53" s="46"/>
      <c r="P53" s="44"/>
      <c r="Q53" s="144"/>
    </row>
    <row r="54" spans="1:17" ht="12.75" customHeight="1" x14ac:dyDescent="0.25">
      <c r="A54" s="315" t="s">
        <v>574</v>
      </c>
      <c r="B54" s="181">
        <f t="shared" ref="B54:Q54" si="5">B33-B52</f>
        <v>0</v>
      </c>
      <c r="C54" s="259">
        <f t="shared" si="5"/>
        <v>0</v>
      </c>
      <c r="D54" s="50">
        <f t="shared" si="5"/>
        <v>0</v>
      </c>
      <c r="E54" s="50">
        <f t="shared" si="5"/>
        <v>0</v>
      </c>
      <c r="F54" s="50">
        <f t="shared" si="5"/>
        <v>0</v>
      </c>
      <c r="G54" s="50">
        <f t="shared" si="5"/>
        <v>0</v>
      </c>
      <c r="H54" s="50">
        <f t="shared" si="5"/>
        <v>0</v>
      </c>
      <c r="I54" s="50">
        <f t="shared" si="5"/>
        <v>0</v>
      </c>
      <c r="J54" s="50">
        <f t="shared" si="5"/>
        <v>0</v>
      </c>
      <c r="K54" s="50">
        <f t="shared" si="5"/>
        <v>0</v>
      </c>
      <c r="L54" s="50">
        <f t="shared" si="5"/>
        <v>0</v>
      </c>
      <c r="M54" s="50">
        <f t="shared" si="5"/>
        <v>0</v>
      </c>
      <c r="N54" s="110">
        <f t="shared" si="5"/>
        <v>941737276.83933353</v>
      </c>
      <c r="O54" s="51">
        <f t="shared" si="5"/>
        <v>525891580.99999982</v>
      </c>
      <c r="P54" s="50">
        <f t="shared" si="5"/>
        <v>0</v>
      </c>
      <c r="Q54" s="194">
        <f t="shared" si="5"/>
        <v>0</v>
      </c>
    </row>
    <row r="55" spans="1:17" ht="12.75" customHeight="1" x14ac:dyDescent="0.25">
      <c r="A55" s="86" t="s">
        <v>568</v>
      </c>
      <c r="B55" s="40"/>
      <c r="C55" s="753"/>
      <c r="D55" s="44">
        <f>C56</f>
        <v>0</v>
      </c>
      <c r="E55" s="44">
        <f t="shared" ref="E55:N55" si="6">D56</f>
        <v>0</v>
      </c>
      <c r="F55" s="44">
        <f t="shared" si="6"/>
        <v>0</v>
      </c>
      <c r="G55" s="44">
        <f t="shared" si="6"/>
        <v>0</v>
      </c>
      <c r="H55" s="44">
        <f t="shared" si="6"/>
        <v>0</v>
      </c>
      <c r="I55" s="44">
        <f t="shared" si="6"/>
        <v>0</v>
      </c>
      <c r="J55" s="44">
        <f t="shared" si="6"/>
        <v>0</v>
      </c>
      <c r="K55" s="44">
        <f t="shared" si="6"/>
        <v>0</v>
      </c>
      <c r="L55" s="44">
        <f t="shared" si="6"/>
        <v>0</v>
      </c>
      <c r="M55" s="44">
        <f t="shared" si="6"/>
        <v>0</v>
      </c>
      <c r="N55" s="108">
        <f t="shared" si="6"/>
        <v>0</v>
      </c>
      <c r="O55" s="46">
        <f>C55</f>
        <v>0</v>
      </c>
      <c r="P55" s="44">
        <f>O56</f>
        <v>525891580.99999982</v>
      </c>
      <c r="Q55" s="144">
        <f>P56</f>
        <v>525891580.99999982</v>
      </c>
    </row>
    <row r="56" spans="1:17" ht="12.75" customHeight="1" x14ac:dyDescent="0.25">
      <c r="A56" s="321" t="s">
        <v>669</v>
      </c>
      <c r="B56" s="176"/>
      <c r="C56" s="299">
        <f>C54+C55</f>
        <v>0</v>
      </c>
      <c r="D56" s="115">
        <f>D54+D55</f>
        <v>0</v>
      </c>
      <c r="E56" s="115">
        <f t="shared" ref="E56:N56" si="7">E54+E55</f>
        <v>0</v>
      </c>
      <c r="F56" s="115">
        <f t="shared" si="7"/>
        <v>0</v>
      </c>
      <c r="G56" s="115">
        <f t="shared" si="7"/>
        <v>0</v>
      </c>
      <c r="H56" s="115">
        <f t="shared" si="7"/>
        <v>0</v>
      </c>
      <c r="I56" s="115">
        <f t="shared" si="7"/>
        <v>0</v>
      </c>
      <c r="J56" s="115">
        <f t="shared" si="7"/>
        <v>0</v>
      </c>
      <c r="K56" s="115">
        <f t="shared" si="7"/>
        <v>0</v>
      </c>
      <c r="L56" s="115">
        <f t="shared" si="7"/>
        <v>0</v>
      </c>
      <c r="M56" s="115">
        <f t="shared" si="7"/>
        <v>0</v>
      </c>
      <c r="N56" s="317">
        <f t="shared" si="7"/>
        <v>941737276.83933353</v>
      </c>
      <c r="O56" s="116">
        <f>O54+O55</f>
        <v>525891580.99999982</v>
      </c>
      <c r="P56" s="115">
        <f>P54+P55</f>
        <v>525891580.99999982</v>
      </c>
      <c r="Q56" s="190">
        <f>Q54+Q55</f>
        <v>525891580.99999982</v>
      </c>
    </row>
    <row r="57" spans="1:17" ht="12.75" customHeight="1" x14ac:dyDescent="0.25">
      <c r="A57" s="57" t="str">
        <f>head27a</f>
        <v>References</v>
      </c>
      <c r="B57" s="67"/>
      <c r="C57" s="67"/>
      <c r="D57" s="67"/>
      <c r="E57" s="67"/>
      <c r="F57" s="67"/>
      <c r="G57" s="67"/>
      <c r="H57" s="67"/>
      <c r="I57" s="67"/>
      <c r="J57" s="67"/>
      <c r="K57" s="67"/>
      <c r="L57" s="67"/>
      <c r="M57" s="67"/>
      <c r="N57" s="67"/>
      <c r="O57" s="67"/>
      <c r="P57" s="67"/>
      <c r="Q57" s="67"/>
    </row>
    <row r="58" spans="1:17" ht="12.75" customHeight="1" x14ac:dyDescent="0.25">
      <c r="A58" s="80" t="s">
        <v>52</v>
      </c>
      <c r="B58" s="67"/>
      <c r="C58" s="67"/>
      <c r="D58" s="67"/>
      <c r="E58" s="67"/>
      <c r="F58" s="67"/>
      <c r="G58" s="67"/>
      <c r="H58" s="67"/>
      <c r="I58" s="67"/>
      <c r="J58" s="67"/>
      <c r="K58" s="67"/>
      <c r="L58" s="67"/>
      <c r="M58" s="67"/>
      <c r="N58" s="67"/>
      <c r="O58" s="67"/>
      <c r="P58" s="67"/>
      <c r="Q58" s="67"/>
    </row>
    <row r="59" spans="1:17" ht="12.75" customHeight="1" x14ac:dyDescent="0.25">
      <c r="A59" s="80" t="s">
        <v>53</v>
      </c>
      <c r="B59" s="67"/>
      <c r="C59" s="67"/>
      <c r="D59" s="67"/>
      <c r="E59" s="67"/>
      <c r="F59" s="67"/>
      <c r="G59" s="67"/>
      <c r="H59" s="67"/>
      <c r="I59" s="67"/>
      <c r="J59" s="67"/>
      <c r="K59" s="67"/>
      <c r="L59" s="67"/>
      <c r="M59" s="67"/>
      <c r="N59" s="67"/>
      <c r="O59" s="67"/>
      <c r="P59" s="67"/>
      <c r="Q59" s="67"/>
    </row>
    <row r="60" spans="1:17" ht="12.75" customHeight="1" x14ac:dyDescent="0.25">
      <c r="A60" s="60" t="s">
        <v>73</v>
      </c>
      <c r="B60" s="67"/>
      <c r="C60" s="67"/>
      <c r="D60" s="67"/>
      <c r="E60" s="67"/>
      <c r="F60" s="67"/>
      <c r="G60" s="67"/>
      <c r="H60" s="67"/>
      <c r="I60" s="67"/>
      <c r="J60" s="67"/>
      <c r="K60" s="67"/>
      <c r="L60" s="67"/>
      <c r="M60" s="67"/>
      <c r="N60" s="67"/>
      <c r="O60" s="67"/>
      <c r="P60" s="67"/>
      <c r="Q60" s="67"/>
    </row>
    <row r="61" spans="1:17" ht="12.75" customHeight="1" x14ac:dyDescent="0.25">
      <c r="A61" s="67"/>
      <c r="B61" s="67"/>
      <c r="C61" s="67"/>
      <c r="D61" s="67"/>
      <c r="E61" s="67"/>
      <c r="F61" s="67"/>
      <c r="G61" s="67"/>
      <c r="H61" s="67"/>
      <c r="I61" s="67"/>
      <c r="J61" s="67"/>
      <c r="K61" s="67"/>
      <c r="L61" s="67"/>
      <c r="M61" s="67"/>
      <c r="N61" s="67"/>
      <c r="O61" s="67"/>
      <c r="P61" s="67"/>
      <c r="Q61" s="67"/>
    </row>
    <row r="62" spans="1:17" ht="10.5" customHeight="1" x14ac:dyDescent="0.25"/>
    <row r="64" spans="1:17" x14ac:dyDescent="0.25">
      <c r="E64" s="84"/>
      <c r="F64" s="84"/>
      <c r="G64" s="84"/>
      <c r="H64" s="84"/>
      <c r="I64" s="84"/>
      <c r="J64" s="84"/>
      <c r="K64" s="84"/>
      <c r="L64" s="84"/>
      <c r="M64" s="84"/>
    </row>
    <row r="65" spans="5:16" x14ac:dyDescent="0.25">
      <c r="E65" s="85">
        <f t="shared" ref="E65:P65" si="8">E46+E64</f>
        <v>0</v>
      </c>
      <c r="F65" s="85">
        <f t="shared" si="8"/>
        <v>0</v>
      </c>
      <c r="G65" s="85">
        <f t="shared" si="8"/>
        <v>0</v>
      </c>
      <c r="H65" s="85">
        <f t="shared" si="8"/>
        <v>0</v>
      </c>
      <c r="I65" s="85">
        <f t="shared" si="8"/>
        <v>0</v>
      </c>
      <c r="J65" s="85">
        <f t="shared" si="8"/>
        <v>0</v>
      </c>
      <c r="K65" s="85">
        <f t="shared" si="8"/>
        <v>0</v>
      </c>
      <c r="L65" s="85">
        <f t="shared" si="8"/>
        <v>0</v>
      </c>
      <c r="M65" s="85"/>
      <c r="N65" s="85">
        <f>N46+N64</f>
        <v>5501964562.0327282</v>
      </c>
      <c r="O65" s="85">
        <f t="shared" si="8"/>
        <v>0</v>
      </c>
      <c r="P65" s="85">
        <f t="shared" si="8"/>
        <v>0</v>
      </c>
    </row>
    <row r="66" spans="5:16" x14ac:dyDescent="0.25">
      <c r="E66" s="85">
        <f t="shared" ref="E66:P66" si="9">E54-E64</f>
        <v>0</v>
      </c>
      <c r="F66" s="85">
        <f t="shared" si="9"/>
        <v>0</v>
      </c>
      <c r="G66" s="85">
        <f t="shared" si="9"/>
        <v>0</v>
      </c>
      <c r="H66" s="85">
        <f t="shared" si="9"/>
        <v>0</v>
      </c>
      <c r="I66" s="85">
        <f t="shared" si="9"/>
        <v>0</v>
      </c>
      <c r="J66" s="85">
        <f t="shared" si="9"/>
        <v>0</v>
      </c>
      <c r="K66" s="85">
        <f t="shared" si="9"/>
        <v>0</v>
      </c>
      <c r="L66" s="85">
        <f t="shared" si="9"/>
        <v>0</v>
      </c>
      <c r="M66" s="85">
        <f>M54-M64</f>
        <v>0</v>
      </c>
      <c r="N66" s="85">
        <f>N54-N64</f>
        <v>941737276.83933353</v>
      </c>
      <c r="O66" s="85">
        <f t="shared" si="9"/>
        <v>525891580.99999982</v>
      </c>
      <c r="P66" s="85">
        <f t="shared" si="9"/>
        <v>0</v>
      </c>
    </row>
    <row r="191" spans="2:43" x14ac:dyDescent="0.25">
      <c r="B191" s="66"/>
      <c r="C191" s="66"/>
      <c r="D191" s="66"/>
      <c r="E191" s="66"/>
      <c r="F191" s="66"/>
      <c r="G191" s="66"/>
      <c r="H191" s="66"/>
      <c r="I191" s="66"/>
      <c r="J191" s="66"/>
      <c r="K191" s="66"/>
      <c r="L191" s="66"/>
      <c r="N191" s="85"/>
      <c r="O191" s="85"/>
      <c r="P191" s="85"/>
      <c r="Q191" s="85"/>
      <c r="R191" s="85"/>
      <c r="S191" s="85"/>
      <c r="AG191" s="85"/>
      <c r="AH191" s="85"/>
      <c r="AI191" s="85"/>
      <c r="AJ191" s="85"/>
      <c r="AK191" s="85"/>
      <c r="AL191" s="85"/>
      <c r="AM191" s="85"/>
      <c r="AN191" s="85"/>
      <c r="AO191" s="85"/>
      <c r="AP191" s="85"/>
      <c r="AQ191" s="85"/>
    </row>
    <row r="192" spans="2:43" x14ac:dyDescent="0.25">
      <c r="N192" s="85"/>
      <c r="O192" s="85"/>
      <c r="P192" s="85"/>
      <c r="Q192" s="85"/>
      <c r="R192" s="85"/>
      <c r="S192" s="85"/>
      <c r="AG192" s="85"/>
      <c r="AH192" s="85"/>
      <c r="AI192" s="85"/>
      <c r="AJ192" s="85"/>
      <c r="AK192" s="85"/>
      <c r="AL192" s="85"/>
      <c r="AM192" s="85"/>
      <c r="AN192" s="85"/>
      <c r="AO192" s="85"/>
      <c r="AP192" s="85"/>
      <c r="AQ192" s="85"/>
    </row>
    <row r="193" spans="14:43" x14ac:dyDescent="0.25">
      <c r="N193" s="85"/>
      <c r="O193" s="85"/>
      <c r="P193" s="85"/>
      <c r="Q193" s="85"/>
      <c r="R193" s="85"/>
      <c r="S193" s="85"/>
      <c r="AG193" s="85"/>
      <c r="AH193" s="85"/>
      <c r="AI193" s="85"/>
      <c r="AJ193" s="85"/>
      <c r="AK193" s="85"/>
      <c r="AL193" s="85"/>
      <c r="AM193" s="85"/>
      <c r="AN193" s="85"/>
      <c r="AO193" s="85"/>
      <c r="AP193" s="85"/>
      <c r="AQ193" s="85"/>
    </row>
  </sheetData>
  <sheetProtection sheet="1" objects="1" scenarios="1"/>
  <mergeCells count="7">
    <mergeCell ref="P3:P4"/>
    <mergeCell ref="Q3:Q4"/>
    <mergeCell ref="A2:A3"/>
    <mergeCell ref="O3:O4"/>
    <mergeCell ref="B2:B3"/>
    <mergeCell ref="C2:N2"/>
    <mergeCell ref="O2:Q2"/>
  </mergeCells>
  <phoneticPr fontId="2" type="noConversion"/>
  <printOptions horizontalCentered="1"/>
  <pageMargins left="0.55000000000000004" right="0.19685039370078741" top="0.52" bottom="0.23" header="0.51181102362204722" footer="0.21"/>
  <pageSetup paperSize="9" scale="7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indexed="42"/>
    <pageSetUpPr fitToPage="1"/>
  </sheetPr>
  <dimension ref="A1:K83"/>
  <sheetViews>
    <sheetView showGridLines="0" zoomScaleNormal="100" workbookViewId="0">
      <pane xSplit="2" ySplit="4" topLeftCell="C5" activePane="bottomRight" state="frozen"/>
      <selection pane="topRight"/>
      <selection pane="bottomLeft"/>
      <selection pane="bottomRight" activeCell="G46" sqref="G46"/>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3" t="str">
        <f>muni&amp; " - "&amp;S71P&amp; " - "&amp;Head57</f>
        <v>KZN225 Msunduzi - Supporting Table SC10 Monthly Budget Statement  - Parent Municipality Financial Performance (revenue and expenditure)  - Mid-Year Assessment</v>
      </c>
      <c r="B1" s="1053"/>
      <c r="C1" s="1053"/>
      <c r="D1" s="1053"/>
      <c r="E1" s="1053"/>
      <c r="F1" s="1053"/>
      <c r="G1" s="1053"/>
      <c r="H1" s="1053"/>
      <c r="I1" s="1053"/>
      <c r="J1" s="1053"/>
      <c r="K1" s="1053"/>
    </row>
    <row r="2" spans="1:11" x14ac:dyDescent="0.25">
      <c r="A2" s="1042" t="str">
        <f>desc</f>
        <v>Description</v>
      </c>
      <c r="B2" s="1035" t="str">
        <f>head27</f>
        <v>Ref</v>
      </c>
      <c r="C2" s="139" t="str">
        <f>Head1</f>
        <v>2019/20</v>
      </c>
      <c r="D2" s="245" t="str">
        <f>Head2</f>
        <v>Budget Year 2020/21</v>
      </c>
      <c r="E2" s="229"/>
      <c r="F2" s="229"/>
      <c r="G2" s="229"/>
      <c r="H2" s="229"/>
      <c r="I2" s="229"/>
      <c r="J2" s="229"/>
      <c r="K2" s="230"/>
    </row>
    <row r="3" spans="1:11" ht="25.5" x14ac:dyDescent="0.25">
      <c r="A3" s="1043"/>
      <c r="B3" s="1046"/>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ht="12.75" customHeight="1" x14ac:dyDescent="0.25">
      <c r="A4" s="291" t="s">
        <v>667</v>
      </c>
      <c r="B4" s="248">
        <v>1</v>
      </c>
      <c r="C4" s="292"/>
      <c r="D4" s="293"/>
      <c r="E4" s="294"/>
      <c r="F4" s="295"/>
      <c r="G4" s="295"/>
      <c r="H4" s="295"/>
      <c r="I4" s="295"/>
      <c r="J4" s="296" t="s">
        <v>575</v>
      </c>
      <c r="K4" s="297"/>
    </row>
    <row r="5" spans="1:11" ht="12.75" customHeight="1" x14ac:dyDescent="0.25">
      <c r="A5" s="35" t="str">
        <f>'C4-FinPerf RE'!A5</f>
        <v>Revenue By Source</v>
      </c>
      <c r="B5" s="169"/>
      <c r="C5" s="134"/>
      <c r="D5" s="46"/>
      <c r="E5" s="44"/>
      <c r="F5" s="44"/>
      <c r="G5" s="44"/>
      <c r="H5" s="44"/>
      <c r="I5" s="44"/>
      <c r="J5" s="44"/>
      <c r="K5" s="144"/>
    </row>
    <row r="6" spans="1:11" ht="12.75" customHeight="1" x14ac:dyDescent="0.25">
      <c r="A6" s="39" t="str">
        <f>'C4-FinPerf RE'!A6</f>
        <v>Property rates</v>
      </c>
      <c r="B6" s="169"/>
      <c r="C6" s="748"/>
      <c r="D6" s="745">
        <v>1269794594.0217998</v>
      </c>
      <c r="E6" s="733">
        <v>1269794594.0217998</v>
      </c>
      <c r="F6" s="733">
        <v>102613743.55</v>
      </c>
      <c r="G6" s="733">
        <v>606771947.64999998</v>
      </c>
      <c r="H6" s="733">
        <f>E6/12*6</f>
        <v>634897297.0108999</v>
      </c>
      <c r="I6" s="44">
        <f t="shared" ref="I6:I21" si="0">G6-H6</f>
        <v>-28125349.360899925</v>
      </c>
      <c r="J6" s="330">
        <f>IF(I6=0,"",I6/H6)</f>
        <v>-4.4299053552935619E-2</v>
      </c>
      <c r="K6" s="735">
        <f>E6</f>
        <v>1269794594.0217998</v>
      </c>
    </row>
    <row r="7" spans="1:11" ht="12.75" customHeight="1" x14ac:dyDescent="0.25">
      <c r="A7" s="39" t="str">
        <f>'C4-FinPerf RE'!A7</f>
        <v>Service charges - electricity revenue</v>
      </c>
      <c r="B7" s="169"/>
      <c r="C7" s="748"/>
      <c r="D7" s="745">
        <v>2584775677.1378117</v>
      </c>
      <c r="E7" s="733">
        <v>2584775677.1378117</v>
      </c>
      <c r="F7" s="733">
        <v>181710629.84999999</v>
      </c>
      <c r="G7" s="733">
        <v>1188190847.03</v>
      </c>
      <c r="H7" s="733">
        <f>E7/12*6</f>
        <v>1292387838.5689058</v>
      </c>
      <c r="I7" s="44">
        <f t="shared" si="0"/>
        <v>-104196991.53890586</v>
      </c>
      <c r="J7" s="330">
        <f t="shared" ref="J7:J22" si="1">IF(I7=0,"",I7/H7)</f>
        <v>-8.0623624293993557E-2</v>
      </c>
      <c r="K7" s="735">
        <f>E7</f>
        <v>2584775677.1378117</v>
      </c>
    </row>
    <row r="8" spans="1:11" ht="12.75" customHeight="1" x14ac:dyDescent="0.25">
      <c r="A8" s="86" t="str">
        <f>'C4-FinPerf RE'!A8</f>
        <v>Service charges - water revenue</v>
      </c>
      <c r="B8" s="171"/>
      <c r="C8" s="748"/>
      <c r="D8" s="745">
        <v>722633094.82360029</v>
      </c>
      <c r="E8" s="733">
        <v>722633094.82360029</v>
      </c>
      <c r="F8" s="733">
        <v>61449091.030000001</v>
      </c>
      <c r="G8" s="733">
        <v>391422057.13999999</v>
      </c>
      <c r="H8" s="733">
        <f>E8/12*6</f>
        <v>361316547.41180015</v>
      </c>
      <c r="I8" s="44">
        <f t="shared" si="0"/>
        <v>30105509.72819984</v>
      </c>
      <c r="J8" s="330">
        <f t="shared" si="1"/>
        <v>8.3321702102638409E-2</v>
      </c>
      <c r="K8" s="735">
        <f>E8</f>
        <v>722633094.82360029</v>
      </c>
    </row>
    <row r="9" spans="1:11" ht="12.75" customHeight="1" x14ac:dyDescent="0.25">
      <c r="A9" s="86" t="str">
        <f>'C4-FinPerf RE'!A9</f>
        <v>Service charges - sanitation revenue</v>
      </c>
      <c r="B9" s="171"/>
      <c r="C9" s="748"/>
      <c r="D9" s="745">
        <v>152021749.3608</v>
      </c>
      <c r="E9" s="733">
        <v>152021749.3608</v>
      </c>
      <c r="F9" s="733">
        <v>14673342.119999999</v>
      </c>
      <c r="G9" s="733">
        <v>80315172.310000002</v>
      </c>
      <c r="H9" s="733">
        <f>E9/12*6</f>
        <v>76010874.680399999</v>
      </c>
      <c r="I9" s="44">
        <f t="shared" si="0"/>
        <v>4304297.6296000034</v>
      </c>
      <c r="J9" s="330">
        <f t="shared" si="1"/>
        <v>5.6627392431650311E-2</v>
      </c>
      <c r="K9" s="735">
        <f>E9</f>
        <v>152021749.3608</v>
      </c>
    </row>
    <row r="10" spans="1:11" ht="12.75" customHeight="1" x14ac:dyDescent="0.25">
      <c r="A10" s="86" t="str">
        <f>'C4-FinPerf RE'!A10</f>
        <v>Service charges - refuse revenue</v>
      </c>
      <c r="B10" s="171"/>
      <c r="C10" s="748"/>
      <c r="D10" s="745">
        <v>116333080.9707</v>
      </c>
      <c r="E10" s="733">
        <v>116333080.9707</v>
      </c>
      <c r="F10" s="733">
        <v>8816504.75</v>
      </c>
      <c r="G10" s="733">
        <v>53337484.670000002</v>
      </c>
      <c r="H10" s="733">
        <f>E10/12*6</f>
        <v>58166540.485349998</v>
      </c>
      <c r="I10" s="44">
        <f t="shared" si="0"/>
        <v>-4829055.8153499961</v>
      </c>
      <c r="J10" s="330">
        <f t="shared" si="1"/>
        <v>-8.3021196981213907E-2</v>
      </c>
      <c r="K10" s="735">
        <f>E10</f>
        <v>116333080.9707</v>
      </c>
    </row>
    <row r="11" spans="1:11" ht="0.95" customHeight="1" x14ac:dyDescent="0.25">
      <c r="A11" s="86"/>
      <c r="B11" s="171"/>
      <c r="C11" s="648"/>
      <c r="D11" s="649"/>
      <c r="E11" s="408"/>
      <c r="F11" s="408"/>
      <c r="G11" s="408"/>
      <c r="H11" s="408"/>
      <c r="I11" s="408"/>
      <c r="J11" s="947"/>
      <c r="K11" s="642"/>
    </row>
    <row r="12" spans="1:11" ht="12.75" customHeight="1" x14ac:dyDescent="0.25">
      <c r="A12" s="86" t="str">
        <f>'C4-FinPerf RE'!A12</f>
        <v>Rental of facilities and equipment</v>
      </c>
      <c r="B12" s="171"/>
      <c r="C12" s="748"/>
      <c r="D12" s="745">
        <v>29078797.626999993</v>
      </c>
      <c r="E12" s="733">
        <v>29078797.626999993</v>
      </c>
      <c r="F12" s="733">
        <v>1828519</v>
      </c>
      <c r="G12" s="733">
        <v>3170465.67</v>
      </c>
      <c r="H12" s="733">
        <f>E12/12*6</f>
        <v>14539398.813499996</v>
      </c>
      <c r="I12" s="44">
        <f t="shared" si="0"/>
        <v>-11368933.143499997</v>
      </c>
      <c r="J12" s="330">
        <f t="shared" si="1"/>
        <v>-0.78193969979995415</v>
      </c>
      <c r="K12" s="735">
        <f>E12</f>
        <v>29078797.626999993</v>
      </c>
    </row>
    <row r="13" spans="1:11" ht="12.75" customHeight="1" x14ac:dyDescent="0.25">
      <c r="A13" s="86" t="str">
        <f>'C4-FinPerf RE'!A13</f>
        <v>Interest earned - external investments</v>
      </c>
      <c r="B13" s="171"/>
      <c r="C13" s="748"/>
      <c r="D13" s="745">
        <v>15260422.42725</v>
      </c>
      <c r="E13" s="733">
        <v>15260422.42725</v>
      </c>
      <c r="F13" s="733">
        <v>347930.44999999995</v>
      </c>
      <c r="G13" s="733">
        <v>3441859.53</v>
      </c>
      <c r="H13" s="733">
        <f>E13/12*6</f>
        <v>7630211.2136250008</v>
      </c>
      <c r="I13" s="44">
        <f t="shared" si="0"/>
        <v>-4188351.683625001</v>
      </c>
      <c r="J13" s="330">
        <f t="shared" si="1"/>
        <v>-0.5489168735127552</v>
      </c>
      <c r="K13" s="735">
        <f>E13</f>
        <v>15260422.42725</v>
      </c>
    </row>
    <row r="14" spans="1:11" ht="12.75" customHeight="1" x14ac:dyDescent="0.25">
      <c r="A14" s="86" t="str">
        <f>'C4-FinPerf RE'!A14</f>
        <v>Interest earned - outstanding debtors</v>
      </c>
      <c r="B14" s="171"/>
      <c r="C14" s="748"/>
      <c r="D14" s="745">
        <v>202457793.88559997</v>
      </c>
      <c r="E14" s="733">
        <v>202457793.88559997</v>
      </c>
      <c r="F14" s="733">
        <v>16616678.369999999</v>
      </c>
      <c r="G14" s="733">
        <v>90658127.069999993</v>
      </c>
      <c r="H14" s="733">
        <f>E14/12*6</f>
        <v>101228896.94279999</v>
      </c>
      <c r="I14" s="44">
        <f t="shared" si="0"/>
        <v>-10570769.872799993</v>
      </c>
      <c r="J14" s="330">
        <f t="shared" si="1"/>
        <v>-0.10442443009897728</v>
      </c>
      <c r="K14" s="735">
        <f>E14</f>
        <v>202457793.88559997</v>
      </c>
    </row>
    <row r="15" spans="1:11" ht="12.75" customHeight="1" x14ac:dyDescent="0.25">
      <c r="A15" s="86" t="str">
        <f>'C4-FinPerf RE'!A15</f>
        <v>Dividends received</v>
      </c>
      <c r="B15" s="171"/>
      <c r="C15" s="748"/>
      <c r="D15" s="745"/>
      <c r="E15" s="733"/>
      <c r="F15" s="733"/>
      <c r="G15" s="733"/>
      <c r="H15" s="733"/>
      <c r="I15" s="44">
        <f t="shared" si="0"/>
        <v>0</v>
      </c>
      <c r="J15" s="330" t="str">
        <f t="shared" si="1"/>
        <v/>
      </c>
      <c r="K15" s="735"/>
    </row>
    <row r="16" spans="1:11" ht="12.75" customHeight="1" x14ac:dyDescent="0.25">
      <c r="A16" s="86" t="str">
        <f>'C4-FinPerf RE'!A16</f>
        <v>Fines, penalties and forfeits</v>
      </c>
      <c r="B16" s="171"/>
      <c r="C16" s="748"/>
      <c r="D16" s="745">
        <v>1798551.4436999999</v>
      </c>
      <c r="E16" s="733">
        <v>1798551.4436999999</v>
      </c>
      <c r="F16" s="733">
        <v>38500</v>
      </c>
      <c r="G16" s="733">
        <v>244021.3</v>
      </c>
      <c r="H16" s="733">
        <f>E16/12*6</f>
        <v>899275.72184999997</v>
      </c>
      <c r="I16" s="44">
        <f t="shared" si="0"/>
        <v>-655254.42185000004</v>
      </c>
      <c r="J16" s="330">
        <f t="shared" si="1"/>
        <v>-0.72864684982488281</v>
      </c>
      <c r="K16" s="735">
        <f t="shared" ref="K16:K20" si="2">E16</f>
        <v>1798551.4436999999</v>
      </c>
    </row>
    <row r="17" spans="1:11" ht="12.75" customHeight="1" x14ac:dyDescent="0.25">
      <c r="A17" s="86" t="str">
        <f>'C4-FinPerf RE'!A17</f>
        <v>Licences and permits</v>
      </c>
      <c r="B17" s="171"/>
      <c r="C17" s="748"/>
      <c r="D17" s="745">
        <v>1119569.0055</v>
      </c>
      <c r="E17" s="733">
        <v>1119569.0055</v>
      </c>
      <c r="F17" s="733">
        <v>15272.53</v>
      </c>
      <c r="G17" s="733">
        <v>269905.51</v>
      </c>
      <c r="H17" s="733">
        <f>E17/12*6</f>
        <v>559784.50274999999</v>
      </c>
      <c r="I17" s="44">
        <f t="shared" si="0"/>
        <v>-289878.99274999998</v>
      </c>
      <c r="J17" s="330">
        <f t="shared" si="1"/>
        <v>-0.51784033199550727</v>
      </c>
      <c r="K17" s="735">
        <f t="shared" si="2"/>
        <v>1119569.0055</v>
      </c>
    </row>
    <row r="18" spans="1:11" ht="12.75" customHeight="1" x14ac:dyDescent="0.25">
      <c r="A18" s="86" t="str">
        <f>'C4-FinPerf RE'!A18</f>
        <v>Agency services</v>
      </c>
      <c r="B18" s="171"/>
      <c r="C18" s="748"/>
      <c r="D18" s="745">
        <v>601902.02599999995</v>
      </c>
      <c r="E18" s="733">
        <v>601902.02599999995</v>
      </c>
      <c r="F18" s="733">
        <v>11180</v>
      </c>
      <c r="G18" s="733">
        <v>340360</v>
      </c>
      <c r="H18" s="733">
        <f>E18/12*6</f>
        <v>300951.01299999998</v>
      </c>
      <c r="I18" s="44">
        <f t="shared" si="0"/>
        <v>39408.987000000023</v>
      </c>
      <c r="J18" s="330">
        <f t="shared" si="1"/>
        <v>0.13094817859941885</v>
      </c>
      <c r="K18" s="735">
        <f t="shared" si="2"/>
        <v>601902.02599999995</v>
      </c>
    </row>
    <row r="19" spans="1:11" ht="12.75" customHeight="1" x14ac:dyDescent="0.25">
      <c r="A19" s="86" t="str">
        <f>'C4-FinPerf RE'!A19</f>
        <v>Transfers and subsidies</v>
      </c>
      <c r="B19" s="171"/>
      <c r="C19" s="748"/>
      <c r="D19" s="745">
        <v>675483240</v>
      </c>
      <c r="E19" s="733">
        <v>764481240</v>
      </c>
      <c r="F19" s="733">
        <v>273809093.82999998</v>
      </c>
      <c r="G19" s="733">
        <v>567424769.73000002</v>
      </c>
      <c r="H19" s="733">
        <f>E19/12*6</f>
        <v>382240620</v>
      </c>
      <c r="I19" s="44">
        <f t="shared" si="0"/>
        <v>185184149.73000002</v>
      </c>
      <c r="J19" s="330">
        <f t="shared" si="1"/>
        <v>0.48447009564289639</v>
      </c>
      <c r="K19" s="735">
        <f t="shared" si="2"/>
        <v>764481240</v>
      </c>
    </row>
    <row r="20" spans="1:11" ht="12.75" customHeight="1" x14ac:dyDescent="0.25">
      <c r="A20" s="86" t="str">
        <f>'C4-FinPerf RE'!A20</f>
        <v>Other revenue</v>
      </c>
      <c r="B20" s="171"/>
      <c r="C20" s="748"/>
      <c r="D20" s="745">
        <v>146451785.14229998</v>
      </c>
      <c r="E20" s="733">
        <v>146451785.14229998</v>
      </c>
      <c r="F20" s="733">
        <v>6237407.0700000003</v>
      </c>
      <c r="G20" s="733">
        <v>70220126.549999997</v>
      </c>
      <c r="H20" s="733">
        <f>E20/12*6</f>
        <v>73225892.57114999</v>
      </c>
      <c r="I20" s="44">
        <f t="shared" si="0"/>
        <v>-3005766.0211499929</v>
      </c>
      <c r="J20" s="330">
        <f t="shared" si="1"/>
        <v>-4.1047857740066987E-2</v>
      </c>
      <c r="K20" s="735">
        <f t="shared" si="2"/>
        <v>146451785.14229998</v>
      </c>
    </row>
    <row r="21" spans="1:11" ht="12.75" customHeight="1" x14ac:dyDescent="0.25">
      <c r="A21" s="39" t="str">
        <f>'C4-FinPerf RE'!A21</f>
        <v>Gains</v>
      </c>
      <c r="B21" s="169"/>
      <c r="C21" s="748"/>
      <c r="D21" s="745"/>
      <c r="E21" s="733"/>
      <c r="F21" s="733"/>
      <c r="G21" s="733"/>
      <c r="H21" s="733"/>
      <c r="I21" s="44">
        <f t="shared" si="0"/>
        <v>0</v>
      </c>
      <c r="J21" s="330" t="str">
        <f t="shared" si="1"/>
        <v/>
      </c>
      <c r="K21" s="735"/>
    </row>
    <row r="22" spans="1:11" ht="12.75" customHeight="1" x14ac:dyDescent="0.25">
      <c r="A22" s="547" t="s">
        <v>134</v>
      </c>
      <c r="B22" s="547"/>
      <c r="C22" s="243">
        <f t="shared" ref="C22:H22" si="3">SUM(C6:C10)+SUM(C12:C21)</f>
        <v>0</v>
      </c>
      <c r="D22" s="74">
        <f t="shared" si="3"/>
        <v>5917810257.8720617</v>
      </c>
      <c r="E22" s="73">
        <f t="shared" si="3"/>
        <v>6006808257.8720617</v>
      </c>
      <c r="F22" s="73">
        <f t="shared" si="3"/>
        <v>668167892.54999995</v>
      </c>
      <c r="G22" s="73">
        <f t="shared" si="3"/>
        <v>3055807144.1599998</v>
      </c>
      <c r="H22" s="73">
        <f t="shared" si="3"/>
        <v>3003404128.9360309</v>
      </c>
      <c r="I22" s="73">
        <f>G22-H22</f>
        <v>52403015.223968983</v>
      </c>
      <c r="J22" s="331">
        <f t="shared" si="1"/>
        <v>1.744787347100471E-2</v>
      </c>
      <c r="K22" s="145">
        <f>SUM(K6:K10)+SUM(K12:K21)</f>
        <v>6006808257.8720617</v>
      </c>
    </row>
    <row r="23" spans="1:11" ht="5.0999999999999996" customHeight="1" x14ac:dyDescent="0.25">
      <c r="A23" s="42"/>
      <c r="B23" s="169"/>
      <c r="C23" s="134"/>
      <c r="D23" s="46"/>
      <c r="E23" s="44"/>
      <c r="F23" s="44"/>
      <c r="G23" s="44"/>
      <c r="H23" s="44"/>
      <c r="I23" s="44"/>
      <c r="J23" s="330"/>
      <c r="K23" s="144"/>
    </row>
    <row r="24" spans="1:11" ht="12.75" customHeight="1" x14ac:dyDescent="0.25">
      <c r="A24" s="35" t="s">
        <v>487</v>
      </c>
      <c r="B24" s="175"/>
      <c r="C24" s="134"/>
      <c r="D24" s="46"/>
      <c r="E24" s="44"/>
      <c r="F24" s="44"/>
      <c r="G24" s="44"/>
      <c r="H24" s="44"/>
      <c r="I24" s="44"/>
      <c r="J24" s="330"/>
      <c r="K24" s="144"/>
    </row>
    <row r="25" spans="1:11" ht="12.75" customHeight="1" x14ac:dyDescent="0.25">
      <c r="A25" s="39" t="str">
        <f>'C4-FinPerf RE'!A25</f>
        <v>Employee related costs</v>
      </c>
      <c r="B25" s="171"/>
      <c r="C25" s="748"/>
      <c r="D25" s="745">
        <v>1467373084.0741799</v>
      </c>
      <c r="E25" s="733">
        <v>1478324304.2495084</v>
      </c>
      <c r="F25" s="733">
        <v>105216598.87000008</v>
      </c>
      <c r="G25" s="733">
        <v>706305561.33999932</v>
      </c>
      <c r="H25" s="733">
        <f t="shared" ref="H25:H34" si="4">E25/12*6</f>
        <v>739162152.12475419</v>
      </c>
      <c r="I25" s="44">
        <f t="shared" ref="I25:I44" si="5">G25-H25</f>
        <v>-32856590.784754872</v>
      </c>
      <c r="J25" s="330">
        <f t="shared" ref="J25:J44" si="6">IF(I25=0,"",I25/H25)</f>
        <v>-4.4451127117787557E-2</v>
      </c>
      <c r="K25" s="735">
        <f t="shared" ref="K25:K34" si="7">E25</f>
        <v>1478324304.2495084</v>
      </c>
    </row>
    <row r="26" spans="1:11" ht="12.75" customHeight="1" x14ac:dyDescent="0.25">
      <c r="A26" s="39" t="str">
        <f>'C4-FinPerf RE'!A26</f>
        <v>Remuneration of councillors</v>
      </c>
      <c r="B26" s="169"/>
      <c r="C26" s="748"/>
      <c r="D26" s="745">
        <v>53650401.115479976</v>
      </c>
      <c r="E26" s="733">
        <v>53650401.439999998</v>
      </c>
      <c r="F26" s="733">
        <v>4028354.9000000004</v>
      </c>
      <c r="G26" s="733">
        <v>25654486.129999995</v>
      </c>
      <c r="H26" s="733">
        <f t="shared" si="4"/>
        <v>26825200.719999999</v>
      </c>
      <c r="I26" s="44">
        <f t="shared" si="5"/>
        <v>-1170714.5900000036</v>
      </c>
      <c r="J26" s="330">
        <f t="shared" si="6"/>
        <v>-4.364234222214624E-2</v>
      </c>
      <c r="K26" s="735">
        <f t="shared" si="7"/>
        <v>53650401.439999998</v>
      </c>
    </row>
    <row r="27" spans="1:11" ht="12.75" customHeight="1" x14ac:dyDescent="0.25">
      <c r="A27" s="39" t="str">
        <f>'C4-FinPerf RE'!A27</f>
        <v>Debt impairment</v>
      </c>
      <c r="B27" s="171"/>
      <c r="C27" s="748"/>
      <c r="D27" s="745">
        <v>123904143.27200001</v>
      </c>
      <c r="E27" s="733">
        <v>123904143.27200001</v>
      </c>
      <c r="F27" s="733">
        <v>-102612.92</v>
      </c>
      <c r="G27" s="733">
        <v>4923398.6400000006</v>
      </c>
      <c r="H27" s="733">
        <f t="shared" si="4"/>
        <v>61952071.636000007</v>
      </c>
      <c r="I27" s="44">
        <f t="shared" si="5"/>
        <v>-57028672.996000007</v>
      </c>
      <c r="J27" s="330">
        <f t="shared" si="6"/>
        <v>-0.92052891033366124</v>
      </c>
      <c r="K27" s="735">
        <f t="shared" si="7"/>
        <v>123904143.27200001</v>
      </c>
    </row>
    <row r="28" spans="1:11" ht="12.75" customHeight="1" x14ac:dyDescent="0.25">
      <c r="A28" s="39" t="str">
        <f>'C4-FinPerf RE'!A28</f>
        <v>Depreciation &amp; asset impairment</v>
      </c>
      <c r="B28" s="171"/>
      <c r="C28" s="748"/>
      <c r="D28" s="745">
        <v>488991448.27473986</v>
      </c>
      <c r="E28" s="733">
        <v>482441448.55050021</v>
      </c>
      <c r="F28" s="733">
        <v>35914041.079999998</v>
      </c>
      <c r="G28" s="733">
        <v>212773563.68000016</v>
      </c>
      <c r="H28" s="733">
        <f t="shared" si="4"/>
        <v>241220724.27525014</v>
      </c>
      <c r="I28" s="44">
        <f t="shared" si="5"/>
        <v>-28447160.595249981</v>
      </c>
      <c r="J28" s="330">
        <f t="shared" si="6"/>
        <v>-0.11793000241052976</v>
      </c>
      <c r="K28" s="735">
        <f t="shared" si="7"/>
        <v>482441448.55050021</v>
      </c>
    </row>
    <row r="29" spans="1:11" ht="12.75" customHeight="1" x14ac:dyDescent="0.25">
      <c r="A29" s="39" t="str">
        <f>'C4-FinPerf RE'!A29</f>
        <v>Finance charges</v>
      </c>
      <c r="B29" s="171"/>
      <c r="C29" s="748"/>
      <c r="D29" s="745">
        <v>31793212.220000003</v>
      </c>
      <c r="E29" s="733">
        <v>36505334.219999969</v>
      </c>
      <c r="F29" s="733">
        <v>3064353.5900000003</v>
      </c>
      <c r="G29" s="733">
        <v>19503251.430000003</v>
      </c>
      <c r="H29" s="733">
        <f t="shared" si="4"/>
        <v>18252667.109999985</v>
      </c>
      <c r="I29" s="44">
        <f t="shared" si="5"/>
        <v>1250584.3200000189</v>
      </c>
      <c r="J29" s="330">
        <f t="shared" si="6"/>
        <v>6.851515520791307E-2</v>
      </c>
      <c r="K29" s="735">
        <f t="shared" si="7"/>
        <v>36505334.219999969</v>
      </c>
    </row>
    <row r="30" spans="1:11" ht="12.75" customHeight="1" x14ac:dyDescent="0.25">
      <c r="A30" s="39" t="str">
        <f>'C4-FinPerf RE'!A30</f>
        <v>Bulk purchases</v>
      </c>
      <c r="B30" s="171"/>
      <c r="C30" s="748"/>
      <c r="D30" s="745">
        <v>2608224084.5041752</v>
      </c>
      <c r="E30" s="733">
        <v>2608224084.5041752</v>
      </c>
      <c r="F30" s="733">
        <v>192927320.59999999</v>
      </c>
      <c r="G30" s="733">
        <v>1399026865.78</v>
      </c>
      <c r="H30" s="733">
        <f t="shared" si="4"/>
        <v>1304112042.2520876</v>
      </c>
      <c r="I30" s="44">
        <f t="shared" si="5"/>
        <v>94914823.527912378</v>
      </c>
      <c r="J30" s="330">
        <f t="shared" si="6"/>
        <v>7.278118785254277E-2</v>
      </c>
      <c r="K30" s="735">
        <f t="shared" si="7"/>
        <v>2608224084.5041752</v>
      </c>
    </row>
    <row r="31" spans="1:11" ht="12.75" customHeight="1" x14ac:dyDescent="0.25">
      <c r="A31" s="39" t="str">
        <f>'C4-FinPerf RE'!A31</f>
        <v>Other materials</v>
      </c>
      <c r="B31" s="171"/>
      <c r="C31" s="748"/>
      <c r="D31" s="745">
        <v>46574816.042614385</v>
      </c>
      <c r="E31" s="733">
        <v>63710306.143800952</v>
      </c>
      <c r="F31" s="733">
        <v>8685618.2200000007</v>
      </c>
      <c r="G31" s="733">
        <v>17529722.189999998</v>
      </c>
      <c r="H31" s="733">
        <f t="shared" si="4"/>
        <v>31855153.071900476</v>
      </c>
      <c r="I31" s="44">
        <f t="shared" si="5"/>
        <v>-14325430.881900478</v>
      </c>
      <c r="J31" s="330">
        <f t="shared" si="6"/>
        <v>-0.44970529099535178</v>
      </c>
      <c r="K31" s="735">
        <f t="shared" si="7"/>
        <v>63710306.143800952</v>
      </c>
    </row>
    <row r="32" spans="1:11" ht="12.75" customHeight="1" x14ac:dyDescent="0.25">
      <c r="A32" s="39" t="str">
        <f>'C4-FinPerf RE'!A32</f>
        <v>Contracted services</v>
      </c>
      <c r="B32" s="171"/>
      <c r="C32" s="748"/>
      <c r="D32" s="745">
        <v>463787100.72254992</v>
      </c>
      <c r="E32" s="733">
        <v>491460211.0508498</v>
      </c>
      <c r="F32" s="733">
        <v>45945039.680000015</v>
      </c>
      <c r="G32" s="733">
        <v>234038574.36000001</v>
      </c>
      <c r="H32" s="733">
        <f t="shared" si="4"/>
        <v>245730105.5254249</v>
      </c>
      <c r="I32" s="44">
        <f t="shared" si="5"/>
        <v>-11691531.165424883</v>
      </c>
      <c r="J32" s="330">
        <f t="shared" si="6"/>
        <v>-4.7578749622175204E-2</v>
      </c>
      <c r="K32" s="735">
        <f t="shared" si="7"/>
        <v>491460211.0508498</v>
      </c>
    </row>
    <row r="33" spans="1:11" ht="12.75" customHeight="1" x14ac:dyDescent="0.25">
      <c r="A33" s="39" t="str">
        <f>'C4-FinPerf RE'!A33</f>
        <v>Transfers and subsidies</v>
      </c>
      <c r="B33" s="171"/>
      <c r="C33" s="748"/>
      <c r="D33" s="745">
        <v>25080461.44304001</v>
      </c>
      <c r="E33" s="733">
        <v>58680462</v>
      </c>
      <c r="F33" s="733">
        <v>2551054.63</v>
      </c>
      <c r="G33" s="733">
        <v>23289311.890000001</v>
      </c>
      <c r="H33" s="733">
        <f t="shared" si="4"/>
        <v>29340231</v>
      </c>
      <c r="I33" s="44">
        <f t="shared" si="5"/>
        <v>-6050919.1099999994</v>
      </c>
      <c r="J33" s="330">
        <f t="shared" si="6"/>
        <v>-0.20623283811228341</v>
      </c>
      <c r="K33" s="735">
        <f t="shared" si="7"/>
        <v>58680462</v>
      </c>
    </row>
    <row r="34" spans="1:11" ht="12.75" customHeight="1" x14ac:dyDescent="0.25">
      <c r="A34" s="39" t="str">
        <f>'C4-FinPerf RE'!A34</f>
        <v>Other expenditure</v>
      </c>
      <c r="B34" s="171"/>
      <c r="C34" s="748"/>
      <c r="D34" s="745">
        <v>192585810.36394995</v>
      </c>
      <c r="E34" s="733">
        <v>166189163.49623623</v>
      </c>
      <c r="F34" s="733">
        <v>14227085.630000008</v>
      </c>
      <c r="G34" s="733">
        <v>81259834.500000119</v>
      </c>
      <c r="H34" s="733">
        <f t="shared" si="4"/>
        <v>83094581.748118117</v>
      </c>
      <c r="I34" s="44">
        <f t="shared" si="5"/>
        <v>-1834747.2481179982</v>
      </c>
      <c r="J34" s="330">
        <f t="shared" si="6"/>
        <v>-2.2080227248505894E-2</v>
      </c>
      <c r="K34" s="735">
        <f t="shared" si="7"/>
        <v>166189163.49623623</v>
      </c>
    </row>
    <row r="35" spans="1:11" ht="12.75" customHeight="1" x14ac:dyDescent="0.25">
      <c r="A35" s="39" t="str">
        <f>'C4-FinPerf RE'!A35</f>
        <v>Losses</v>
      </c>
      <c r="B35" s="169"/>
      <c r="C35" s="748"/>
      <c r="D35" s="745">
        <v>0</v>
      </c>
      <c r="E35" s="733"/>
      <c r="F35" s="733"/>
      <c r="G35" s="733"/>
      <c r="H35" s="733"/>
      <c r="I35" s="44">
        <f t="shared" si="5"/>
        <v>0</v>
      </c>
      <c r="J35" s="330" t="str">
        <f t="shared" si="6"/>
        <v/>
      </c>
      <c r="K35" s="735"/>
    </row>
    <row r="36" spans="1:11" ht="12.75" customHeight="1" x14ac:dyDescent="0.25">
      <c r="A36" s="350" t="s">
        <v>488</v>
      </c>
      <c r="B36" s="569"/>
      <c r="C36" s="243">
        <f t="shared" ref="C36:H36" si="8">SUM(C25:C35)</f>
        <v>0</v>
      </c>
      <c r="D36" s="74">
        <f t="shared" si="8"/>
        <v>5501964562.0327282</v>
      </c>
      <c r="E36" s="73">
        <f t="shared" si="8"/>
        <v>5563089858.9270697</v>
      </c>
      <c r="F36" s="73">
        <f t="shared" si="8"/>
        <v>412456854.28000009</v>
      </c>
      <c r="G36" s="73">
        <f t="shared" si="8"/>
        <v>2724304569.9399996</v>
      </c>
      <c r="H36" s="73">
        <f t="shared" si="8"/>
        <v>2781544929.4635348</v>
      </c>
      <c r="I36" s="73">
        <f t="shared" si="5"/>
        <v>-57240359.523535252</v>
      </c>
      <c r="J36" s="331">
        <f t="shared" si="6"/>
        <v>-2.0578621224923002E-2</v>
      </c>
      <c r="K36" s="145">
        <f>SUM(K25:K35)</f>
        <v>5563089858.9270697</v>
      </c>
    </row>
    <row r="37" spans="1:11" ht="5.0999999999999996" customHeight="1" x14ac:dyDescent="0.25">
      <c r="A37" s="42"/>
      <c r="B37" s="169"/>
      <c r="C37" s="134"/>
      <c r="D37" s="46"/>
      <c r="E37" s="44"/>
      <c r="F37" s="44"/>
      <c r="G37" s="44"/>
      <c r="H37" s="44"/>
      <c r="I37" s="44">
        <f t="shared" si="5"/>
        <v>0</v>
      </c>
      <c r="J37" s="330"/>
      <c r="K37" s="144"/>
    </row>
    <row r="38" spans="1:11" ht="12.75" customHeight="1" x14ac:dyDescent="0.25">
      <c r="A38" s="87" t="str">
        <f>'C4-FinPerf RE'!A38</f>
        <v>Surplus/(Deficit)</v>
      </c>
      <c r="B38" s="169"/>
      <c r="C38" s="134">
        <f t="shared" ref="C38:H38" si="9">C22-C36</f>
        <v>0</v>
      </c>
      <c r="D38" s="46">
        <f t="shared" si="9"/>
        <v>415845695.83933353</v>
      </c>
      <c r="E38" s="44">
        <f t="shared" si="9"/>
        <v>443718398.94499207</v>
      </c>
      <c r="F38" s="44">
        <f t="shared" si="9"/>
        <v>255711038.26999986</v>
      </c>
      <c r="G38" s="44">
        <f t="shared" si="9"/>
        <v>331502574.22000027</v>
      </c>
      <c r="H38" s="44">
        <f t="shared" si="9"/>
        <v>221859199.47249603</v>
      </c>
      <c r="I38" s="44">
        <f t="shared" si="5"/>
        <v>109643374.74750423</v>
      </c>
      <c r="J38" s="330">
        <f t="shared" si="6"/>
        <v>0.49420251676828375</v>
      </c>
      <c r="K38" s="144">
        <f>K22-K36</f>
        <v>443718398.94499207</v>
      </c>
    </row>
    <row r="39" spans="1:11" ht="21.6" customHeight="1" x14ac:dyDescent="0.25">
      <c r="A39" s="111" t="str">
        <f>'C4-FinPerf RE'!A39</f>
        <v>Transfers and subsidies - capital (monetary allocations) (National / Provincial and District)</v>
      </c>
      <c r="B39" s="169"/>
      <c r="C39" s="748"/>
      <c r="D39" s="745">
        <v>525891580.99999982</v>
      </c>
      <c r="E39" s="733">
        <v>525891580.99999982</v>
      </c>
      <c r="F39" s="733">
        <v>65330859.039999999</v>
      </c>
      <c r="G39" s="733">
        <v>252083543.83000001</v>
      </c>
      <c r="H39" s="733">
        <f>E39/12*6</f>
        <v>262945790.49999988</v>
      </c>
      <c r="I39" s="44">
        <f t="shared" si="5"/>
        <v>-10862246.669999868</v>
      </c>
      <c r="J39" s="330">
        <f t="shared" si="6"/>
        <v>-4.1309832910216802E-2</v>
      </c>
      <c r="K39" s="735">
        <f>E39</f>
        <v>525891580.99999982</v>
      </c>
    </row>
    <row r="40" spans="1:11" ht="42" customHeight="1" x14ac:dyDescent="0.25">
      <c r="A40" s="111" t="str">
        <f>'C4-FinPerf RE'!A40</f>
        <v>Transfers and subsidies - capital (monetary allocations) (National / Provincial Departmental Agencies, Households, Non-profit Institutions, Private Enterprises, Public Corporatons, Higher Educational Institutions)</v>
      </c>
      <c r="B40" s="169"/>
      <c r="C40" s="748"/>
      <c r="D40" s="745"/>
      <c r="E40" s="733"/>
      <c r="F40" s="733"/>
      <c r="G40" s="733"/>
      <c r="H40" s="733"/>
      <c r="I40" s="44">
        <f t="shared" si="5"/>
        <v>0</v>
      </c>
      <c r="J40" s="330" t="str">
        <f t="shared" si="6"/>
        <v/>
      </c>
      <c r="K40" s="735"/>
    </row>
    <row r="41" spans="1:11" ht="12.75" customHeight="1" x14ac:dyDescent="0.25">
      <c r="A41" s="39" t="str">
        <f>'C4-FinPerf RE'!A41</f>
        <v xml:space="preserve">Transfers and subsidies - capital (in-kind - all) </v>
      </c>
      <c r="B41" s="169"/>
      <c r="C41" s="748"/>
      <c r="D41" s="745"/>
      <c r="E41" s="733"/>
      <c r="F41" s="733"/>
      <c r="G41" s="733"/>
      <c r="H41" s="733"/>
      <c r="I41" s="44">
        <f t="shared" si="5"/>
        <v>0</v>
      </c>
      <c r="J41" s="330" t="str">
        <f t="shared" si="6"/>
        <v/>
      </c>
      <c r="K41" s="735"/>
    </row>
    <row r="42" spans="1:11" ht="25.5" x14ac:dyDescent="0.25">
      <c r="A42" s="570" t="str">
        <f>'C4-FinPerf RE'!A42</f>
        <v>Surplus/(Deficit) after capital transfers &amp; contributions</v>
      </c>
      <c r="B42" s="309"/>
      <c r="C42" s="571">
        <f>C38+SUM(C39:C41)</f>
        <v>0</v>
      </c>
      <c r="D42" s="572">
        <f t="shared" ref="D42:K42" si="10">D38+SUM(D39:D41)</f>
        <v>941737276.8393333</v>
      </c>
      <c r="E42" s="514">
        <f t="shared" si="10"/>
        <v>969609979.94499183</v>
      </c>
      <c r="F42" s="514">
        <f t="shared" si="10"/>
        <v>321041897.30999988</v>
      </c>
      <c r="G42" s="514">
        <f t="shared" si="10"/>
        <v>583586118.05000031</v>
      </c>
      <c r="H42" s="514">
        <f t="shared" si="10"/>
        <v>484804989.97249591</v>
      </c>
      <c r="I42" s="514">
        <f t="shared" si="5"/>
        <v>98781128.077504396</v>
      </c>
      <c r="J42" s="515">
        <f t="shared" si="6"/>
        <v>0.20375435509256717</v>
      </c>
      <c r="K42" s="573">
        <f t="shared" si="10"/>
        <v>969609979.94499183</v>
      </c>
    </row>
    <row r="43" spans="1:11" ht="12.75" customHeight="1" x14ac:dyDescent="0.25">
      <c r="A43" s="111" t="str">
        <f>'C4-FinPerf RE'!A43</f>
        <v>Taxation</v>
      </c>
      <c r="B43" s="169"/>
      <c r="C43" s="748"/>
      <c r="D43" s="745"/>
      <c r="E43" s="733"/>
      <c r="F43" s="733"/>
      <c r="G43" s="733"/>
      <c r="H43" s="733"/>
      <c r="I43" s="44">
        <f t="shared" si="5"/>
        <v>0</v>
      </c>
      <c r="J43" s="330" t="str">
        <f t="shared" si="6"/>
        <v/>
      </c>
      <c r="K43" s="735"/>
    </row>
    <row r="44" spans="1:11" ht="12.75" customHeight="1" x14ac:dyDescent="0.25">
      <c r="A44" s="53" t="str">
        <f>'C4-FinPerf RE'!A44</f>
        <v>Surplus/(Deficit) after taxation</v>
      </c>
      <c r="B44" s="236"/>
      <c r="C44" s="112">
        <f t="shared" ref="C44:H44" si="11">C42-C43</f>
        <v>0</v>
      </c>
      <c r="D44" s="56">
        <f t="shared" si="11"/>
        <v>941737276.8393333</v>
      </c>
      <c r="E44" s="55">
        <f t="shared" si="11"/>
        <v>969609979.94499183</v>
      </c>
      <c r="F44" s="55">
        <f t="shared" si="11"/>
        <v>321041897.30999988</v>
      </c>
      <c r="G44" s="55">
        <f t="shared" si="11"/>
        <v>583586118.05000031</v>
      </c>
      <c r="H44" s="55">
        <f t="shared" si="11"/>
        <v>484804989.97249591</v>
      </c>
      <c r="I44" s="55">
        <f t="shared" si="5"/>
        <v>98781128.077504396</v>
      </c>
      <c r="J44" s="332">
        <f t="shared" si="6"/>
        <v>0.20375435509256717</v>
      </c>
      <c r="K44" s="235">
        <f>K42-K43</f>
        <v>969609979.94499183</v>
      </c>
    </row>
    <row r="45" spans="1:11" ht="12.75" customHeight="1" x14ac:dyDescent="0.25">
      <c r="A45" s="57" t="str">
        <f>head27a</f>
        <v>References</v>
      </c>
      <c r="B45" s="58"/>
      <c r="C45" s="62"/>
      <c r="D45" s="62"/>
      <c r="E45" s="62"/>
      <c r="F45" s="62"/>
      <c r="G45" s="62"/>
      <c r="H45" s="62"/>
      <c r="I45" s="62"/>
      <c r="J45" s="147"/>
      <c r="K45" s="62"/>
    </row>
    <row r="46" spans="1:11" ht="12.75" customHeight="1" x14ac:dyDescent="0.25">
      <c r="A46" s="80" t="s">
        <v>625</v>
      </c>
      <c r="B46" s="58"/>
      <c r="C46" s="62"/>
      <c r="D46" s="62"/>
      <c r="E46" s="62"/>
      <c r="F46" s="62"/>
      <c r="G46" s="62"/>
      <c r="H46" s="62"/>
      <c r="I46" s="62"/>
      <c r="J46" s="62"/>
      <c r="K46" s="62"/>
    </row>
    <row r="47" spans="1:11" ht="12.75" customHeight="1" x14ac:dyDescent="0.25">
      <c r="A47" s="65"/>
      <c r="B47" s="64"/>
      <c r="C47" s="66"/>
      <c r="D47" s="66"/>
      <c r="E47" s="66"/>
      <c r="F47" s="66"/>
      <c r="G47" s="66"/>
      <c r="H47" s="66"/>
      <c r="I47" s="66"/>
      <c r="J47" s="66"/>
      <c r="K47" s="66"/>
    </row>
    <row r="48" spans="1:11" ht="12.75" customHeight="1" x14ac:dyDescent="0.25">
      <c r="A48" s="65"/>
      <c r="B48" s="64"/>
      <c r="C48" s="66"/>
      <c r="D48" s="66"/>
      <c r="E48" s="66"/>
      <c r="F48" s="66"/>
      <c r="G48" s="66"/>
      <c r="H48" s="66"/>
      <c r="I48" s="66"/>
      <c r="J48" s="66"/>
      <c r="K48" s="66"/>
    </row>
    <row r="49" spans="2:2" ht="12.75" customHeight="1" x14ac:dyDescent="0.25">
      <c r="B49" s="25"/>
    </row>
    <row r="50" spans="2:2" ht="12.75" customHeight="1" x14ac:dyDescent="0.25">
      <c r="B50" s="25"/>
    </row>
    <row r="51" spans="2:2" ht="12.75" customHeight="1" x14ac:dyDescent="0.25">
      <c r="B51" s="25"/>
    </row>
    <row r="52" spans="2:2" ht="12.75" customHeight="1" x14ac:dyDescent="0.25">
      <c r="B52" s="25"/>
    </row>
    <row r="53" spans="2:2" ht="12.75" customHeight="1" x14ac:dyDescent="0.25">
      <c r="B53" s="25"/>
    </row>
    <row r="54" spans="2:2" ht="12.75" customHeight="1" x14ac:dyDescent="0.25">
      <c r="B54" s="25"/>
    </row>
    <row r="55" spans="2:2" ht="12.75" customHeight="1" x14ac:dyDescent="0.25">
      <c r="B55" s="25"/>
    </row>
    <row r="56" spans="2:2" ht="11.25" customHeight="1" x14ac:dyDescent="0.25">
      <c r="B56" s="25"/>
    </row>
    <row r="57" spans="2:2" ht="11.25" customHeight="1" x14ac:dyDescent="0.25">
      <c r="B57" s="25"/>
    </row>
    <row r="58" spans="2:2" ht="11.25" customHeight="1" x14ac:dyDescent="0.25">
      <c r="B58" s="25"/>
    </row>
    <row r="59" spans="2:2" ht="11.25" customHeight="1" x14ac:dyDescent="0.25">
      <c r="B59" s="25"/>
    </row>
    <row r="60" spans="2:2" ht="11.25" customHeight="1" x14ac:dyDescent="0.25">
      <c r="B60" s="25"/>
    </row>
    <row r="61" spans="2:2" ht="11.25" customHeight="1" x14ac:dyDescent="0.25">
      <c r="B61" s="25"/>
    </row>
    <row r="62" spans="2:2" ht="11.25" customHeight="1" x14ac:dyDescent="0.25">
      <c r="B62" s="25"/>
    </row>
    <row r="63" spans="2:2" ht="11.25" customHeight="1" x14ac:dyDescent="0.25">
      <c r="B63" s="25"/>
    </row>
    <row r="64" spans="2:2"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row r="83" spans="2:2" ht="11.25" customHeight="1" x14ac:dyDescent="0.25"/>
  </sheetData>
  <sheetProtection sheet="1" objects="1" scenarios="1"/>
  <mergeCells count="3">
    <mergeCell ref="A2:A3"/>
    <mergeCell ref="B2:B3"/>
    <mergeCell ref="A1:K1"/>
  </mergeCells>
  <phoneticPr fontId="2" type="noConversion"/>
  <printOptions horizontalCentered="1"/>
  <pageMargins left="0.35433070866141736" right="0.17" top="0.79" bottom="0.6" header="0.51181102362204722" footer="0.39"/>
  <pageSetup paperSize="9" scale="8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indexed="42"/>
    <pageSetUpPr fitToPage="1"/>
  </sheetPr>
  <dimension ref="A1:K85"/>
  <sheetViews>
    <sheetView showGridLines="0" zoomScaleNormal="100" workbookViewId="0">
      <pane xSplit="2" ySplit="4" topLeftCell="C5" activePane="bottomRight" state="frozen"/>
      <selection pane="topRight"/>
      <selection pane="bottomLeft"/>
      <selection pane="bottomRight" sqref="A1:K1"/>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3" t="str">
        <f>muni&amp; " - "&amp;S71Q&amp; " - "&amp;Head57</f>
        <v>KZN225 Msunduzi - Supporting Table SC11 Monthly Budget Statement - summary of municipal entities - Mid-Year Assessment</v>
      </c>
      <c r="B1" s="1053"/>
      <c r="C1" s="1053"/>
      <c r="D1" s="1053"/>
      <c r="E1" s="1053"/>
      <c r="F1" s="1053"/>
      <c r="G1" s="1053"/>
      <c r="H1" s="1053"/>
      <c r="I1" s="1053"/>
      <c r="J1" s="1053"/>
      <c r="K1" s="1053"/>
    </row>
    <row r="2" spans="1:11" x14ac:dyDescent="0.25">
      <c r="A2" s="1042" t="str">
        <f>desc</f>
        <v>Description</v>
      </c>
      <c r="B2" s="1035" t="str">
        <f>head27</f>
        <v>Ref</v>
      </c>
      <c r="C2" s="158" t="str">
        <f>Head1</f>
        <v>2019/20</v>
      </c>
      <c r="D2" s="1037" t="str">
        <f>Head2</f>
        <v>Budget Year 2020/21</v>
      </c>
      <c r="E2" s="1038"/>
      <c r="F2" s="1038"/>
      <c r="G2" s="1038"/>
      <c r="H2" s="1038"/>
      <c r="I2" s="1038"/>
      <c r="J2" s="1038"/>
      <c r="K2" s="1039"/>
    </row>
    <row r="3" spans="1:11" ht="25.5" x14ac:dyDescent="0.25">
      <c r="A3" s="1043"/>
      <c r="B3" s="1046"/>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24" t="s">
        <v>667</v>
      </c>
      <c r="B4" s="248"/>
      <c r="C4" s="292"/>
      <c r="D4" s="298"/>
      <c r="E4" s="294"/>
      <c r="F4" s="295"/>
      <c r="G4" s="295"/>
      <c r="H4" s="295"/>
      <c r="I4" s="295"/>
      <c r="J4" s="296" t="s">
        <v>575</v>
      </c>
      <c r="K4" s="297"/>
    </row>
    <row r="5" spans="1:11" ht="12.75" customHeight="1" x14ac:dyDescent="0.25">
      <c r="A5" s="136" t="s">
        <v>552</v>
      </c>
      <c r="B5" s="169"/>
      <c r="C5" s="134"/>
      <c r="D5" s="258"/>
      <c r="E5" s="44"/>
      <c r="F5" s="44"/>
      <c r="G5" s="44"/>
      <c r="H5" s="44"/>
      <c r="I5" s="44"/>
      <c r="J5" s="44"/>
      <c r="K5" s="144"/>
    </row>
    <row r="6" spans="1:11" ht="12.75" customHeight="1" x14ac:dyDescent="0.25">
      <c r="A6" s="793" t="s">
        <v>75</v>
      </c>
      <c r="B6" s="169"/>
      <c r="C6" s="748"/>
      <c r="D6" s="753"/>
      <c r="E6" s="733"/>
      <c r="F6" s="733"/>
      <c r="G6" s="733"/>
      <c r="H6" s="733"/>
      <c r="I6" s="44">
        <f t="shared" ref="I6:I41" si="0">G6-H6</f>
        <v>0</v>
      </c>
      <c r="J6" s="330" t="str">
        <f>IF(I6=0,"",I6/H6)</f>
        <v/>
      </c>
      <c r="K6" s="735"/>
    </row>
    <row r="7" spans="1:11" ht="12.75" customHeight="1" x14ac:dyDescent="0.25">
      <c r="A7" s="776"/>
      <c r="B7" s="169"/>
      <c r="C7" s="748"/>
      <c r="D7" s="753"/>
      <c r="E7" s="733"/>
      <c r="F7" s="733"/>
      <c r="G7" s="733"/>
      <c r="H7" s="733"/>
      <c r="I7" s="44">
        <f t="shared" si="0"/>
        <v>0</v>
      </c>
      <c r="J7" s="330" t="str">
        <f t="shared" ref="J7:J16" si="1">IF(I7=0,"",I7/H7)</f>
        <v/>
      </c>
      <c r="K7" s="735"/>
    </row>
    <row r="8" spans="1:11" ht="12.75" customHeight="1" x14ac:dyDescent="0.25">
      <c r="A8" s="776"/>
      <c r="B8" s="169"/>
      <c r="C8" s="748"/>
      <c r="D8" s="753"/>
      <c r="E8" s="733"/>
      <c r="F8" s="733"/>
      <c r="G8" s="733"/>
      <c r="H8" s="733"/>
      <c r="I8" s="44">
        <f t="shared" si="0"/>
        <v>0</v>
      </c>
      <c r="J8" s="330" t="str">
        <f t="shared" si="1"/>
        <v/>
      </c>
      <c r="K8" s="735"/>
    </row>
    <row r="9" spans="1:11" ht="12.75" customHeight="1" x14ac:dyDescent="0.25">
      <c r="A9" s="776"/>
      <c r="B9" s="169"/>
      <c r="C9" s="748"/>
      <c r="D9" s="753"/>
      <c r="E9" s="733"/>
      <c r="F9" s="733"/>
      <c r="G9" s="733"/>
      <c r="H9" s="733"/>
      <c r="I9" s="44">
        <f t="shared" si="0"/>
        <v>0</v>
      </c>
      <c r="J9" s="330" t="str">
        <f t="shared" si="1"/>
        <v/>
      </c>
      <c r="K9" s="735"/>
    </row>
    <row r="10" spans="1:11" ht="12.75" customHeight="1" x14ac:dyDescent="0.25">
      <c r="A10" s="776"/>
      <c r="B10" s="169"/>
      <c r="C10" s="748"/>
      <c r="D10" s="753"/>
      <c r="E10" s="733"/>
      <c r="F10" s="733"/>
      <c r="G10" s="733"/>
      <c r="H10" s="733"/>
      <c r="I10" s="44">
        <f t="shared" si="0"/>
        <v>0</v>
      </c>
      <c r="J10" s="330" t="str">
        <f t="shared" si="1"/>
        <v/>
      </c>
      <c r="K10" s="735"/>
    </row>
    <row r="11" spans="1:11" ht="12.75" customHeight="1" x14ac:dyDescent="0.25">
      <c r="A11" s="776"/>
      <c r="B11" s="169"/>
      <c r="C11" s="748"/>
      <c r="D11" s="753"/>
      <c r="E11" s="733"/>
      <c r="F11" s="733"/>
      <c r="G11" s="733"/>
      <c r="H11" s="733"/>
      <c r="I11" s="44">
        <f t="shared" si="0"/>
        <v>0</v>
      </c>
      <c r="J11" s="330" t="str">
        <f t="shared" si="1"/>
        <v/>
      </c>
      <c r="K11" s="735"/>
    </row>
    <row r="12" spans="1:11" ht="12.75" customHeight="1" x14ac:dyDescent="0.25">
      <c r="A12" s="776"/>
      <c r="B12" s="169"/>
      <c r="C12" s="748"/>
      <c r="D12" s="753"/>
      <c r="E12" s="733"/>
      <c r="F12" s="733"/>
      <c r="G12" s="733"/>
      <c r="H12" s="733"/>
      <c r="I12" s="44">
        <f t="shared" si="0"/>
        <v>0</v>
      </c>
      <c r="J12" s="330" t="str">
        <f t="shared" si="1"/>
        <v/>
      </c>
      <c r="K12" s="735"/>
    </row>
    <row r="13" spans="1:11" ht="12.75" customHeight="1" x14ac:dyDescent="0.25">
      <c r="A13" s="776"/>
      <c r="B13" s="169"/>
      <c r="C13" s="748"/>
      <c r="D13" s="753"/>
      <c r="E13" s="733"/>
      <c r="F13" s="733"/>
      <c r="G13" s="733"/>
      <c r="H13" s="733"/>
      <c r="I13" s="44">
        <f t="shared" si="0"/>
        <v>0</v>
      </c>
      <c r="J13" s="330" t="str">
        <f t="shared" si="1"/>
        <v/>
      </c>
      <c r="K13" s="735"/>
    </row>
    <row r="14" spans="1:11" ht="12.75" customHeight="1" x14ac:dyDescent="0.25">
      <c r="A14" s="776"/>
      <c r="B14" s="169"/>
      <c r="C14" s="748"/>
      <c r="D14" s="753"/>
      <c r="E14" s="733"/>
      <c r="F14" s="733"/>
      <c r="G14" s="733"/>
      <c r="H14" s="733"/>
      <c r="I14" s="44">
        <f t="shared" si="0"/>
        <v>0</v>
      </c>
      <c r="J14" s="330" t="str">
        <f t="shared" si="1"/>
        <v/>
      </c>
      <c r="K14" s="735"/>
    </row>
    <row r="15" spans="1:11" ht="12.75" customHeight="1" x14ac:dyDescent="0.25">
      <c r="A15" s="776"/>
      <c r="B15" s="169"/>
      <c r="C15" s="748"/>
      <c r="D15" s="753"/>
      <c r="E15" s="733"/>
      <c r="F15" s="733"/>
      <c r="G15" s="733"/>
      <c r="H15" s="733"/>
      <c r="I15" s="44">
        <f t="shared" si="0"/>
        <v>0</v>
      </c>
      <c r="J15" s="330" t="str">
        <f t="shared" si="1"/>
        <v/>
      </c>
      <c r="K15" s="735"/>
    </row>
    <row r="16" spans="1:11" ht="12.75" customHeight="1" x14ac:dyDescent="0.25">
      <c r="A16" s="92" t="s">
        <v>540</v>
      </c>
      <c r="B16" s="233">
        <v>1</v>
      </c>
      <c r="C16" s="243">
        <f t="shared" ref="C16:H16" si="2">SUM(C6:C15)</f>
        <v>0</v>
      </c>
      <c r="D16" s="260">
        <f t="shared" si="2"/>
        <v>0</v>
      </c>
      <c r="E16" s="73">
        <f t="shared" si="2"/>
        <v>0</v>
      </c>
      <c r="F16" s="73">
        <f t="shared" si="2"/>
        <v>0</v>
      </c>
      <c r="G16" s="73">
        <f t="shared" si="2"/>
        <v>0</v>
      </c>
      <c r="H16" s="73">
        <f t="shared" si="2"/>
        <v>0</v>
      </c>
      <c r="I16" s="73">
        <f t="shared" si="0"/>
        <v>0</v>
      </c>
      <c r="J16" s="331" t="str">
        <f t="shared" si="1"/>
        <v/>
      </c>
      <c r="K16" s="145">
        <f>SUM(K6:K15)</f>
        <v>0</v>
      </c>
    </row>
    <row r="17" spans="1:11" ht="5.0999999999999996" customHeight="1" x14ac:dyDescent="0.25">
      <c r="A17" s="42"/>
      <c r="B17" s="169"/>
      <c r="C17" s="134"/>
      <c r="D17" s="258"/>
      <c r="E17" s="44"/>
      <c r="F17" s="44"/>
      <c r="G17" s="44"/>
      <c r="H17" s="44"/>
      <c r="I17" s="44"/>
      <c r="J17" s="330"/>
      <c r="K17" s="144"/>
    </row>
    <row r="18" spans="1:11" ht="12.75" customHeight="1" x14ac:dyDescent="0.25">
      <c r="A18" s="35" t="s">
        <v>551</v>
      </c>
      <c r="B18" s="175"/>
      <c r="C18" s="134"/>
      <c r="D18" s="258"/>
      <c r="E18" s="44"/>
      <c r="F18" s="44"/>
      <c r="G18" s="44"/>
      <c r="H18" s="44"/>
      <c r="I18" s="44"/>
      <c r="J18" s="330"/>
      <c r="K18" s="144"/>
    </row>
    <row r="19" spans="1:11" ht="12.75" customHeight="1" x14ac:dyDescent="0.25">
      <c r="A19" s="793" t="str">
        <f>A6</f>
        <v>Insert name of municipal entity</v>
      </c>
      <c r="B19" s="171"/>
      <c r="C19" s="748"/>
      <c r="D19" s="753"/>
      <c r="E19" s="733"/>
      <c r="F19" s="733"/>
      <c r="G19" s="733"/>
      <c r="H19" s="733"/>
      <c r="I19" s="44">
        <f t="shared" si="0"/>
        <v>0</v>
      </c>
      <c r="J19" s="330" t="str">
        <f t="shared" ref="J19:J43" si="3">IF(I19=0,"",I19/H19)</f>
        <v/>
      </c>
      <c r="K19" s="735"/>
    </row>
    <row r="20" spans="1:11" ht="12.75" customHeight="1" x14ac:dyDescent="0.25">
      <c r="A20" s="776" t="str">
        <f>IF(A7="","",A7)</f>
        <v/>
      </c>
      <c r="B20" s="171"/>
      <c r="C20" s="748"/>
      <c r="D20" s="753"/>
      <c r="E20" s="733"/>
      <c r="F20" s="733"/>
      <c r="G20" s="733"/>
      <c r="H20" s="733"/>
      <c r="I20" s="44">
        <f t="shared" si="0"/>
        <v>0</v>
      </c>
      <c r="J20" s="330" t="str">
        <f t="shared" si="3"/>
        <v/>
      </c>
      <c r="K20" s="735"/>
    </row>
    <row r="21" spans="1:11" ht="12.75" customHeight="1" x14ac:dyDescent="0.25">
      <c r="A21" s="776" t="str">
        <f t="shared" ref="A21:A28" si="4">IF(A8="","",A8)</f>
        <v/>
      </c>
      <c r="B21" s="171"/>
      <c r="C21" s="748"/>
      <c r="D21" s="753"/>
      <c r="E21" s="733"/>
      <c r="F21" s="733"/>
      <c r="G21" s="733"/>
      <c r="H21" s="733"/>
      <c r="I21" s="44">
        <f t="shared" si="0"/>
        <v>0</v>
      </c>
      <c r="J21" s="330" t="str">
        <f t="shared" si="3"/>
        <v/>
      </c>
      <c r="K21" s="735"/>
    </row>
    <row r="22" spans="1:11" ht="12.75" customHeight="1" x14ac:dyDescent="0.25">
      <c r="A22" s="776" t="str">
        <f t="shared" si="4"/>
        <v/>
      </c>
      <c r="B22" s="171"/>
      <c r="C22" s="748"/>
      <c r="D22" s="753"/>
      <c r="E22" s="733"/>
      <c r="F22" s="733"/>
      <c r="G22" s="733"/>
      <c r="H22" s="733"/>
      <c r="I22" s="44">
        <f t="shared" si="0"/>
        <v>0</v>
      </c>
      <c r="J22" s="330" t="str">
        <f t="shared" si="3"/>
        <v/>
      </c>
      <c r="K22" s="735"/>
    </row>
    <row r="23" spans="1:11" ht="12.75" customHeight="1" x14ac:dyDescent="0.25">
      <c r="A23" s="776" t="str">
        <f t="shared" si="4"/>
        <v/>
      </c>
      <c r="B23" s="171"/>
      <c r="C23" s="748"/>
      <c r="D23" s="753"/>
      <c r="E23" s="733"/>
      <c r="F23" s="733"/>
      <c r="G23" s="733"/>
      <c r="H23" s="733"/>
      <c r="I23" s="44">
        <f t="shared" si="0"/>
        <v>0</v>
      </c>
      <c r="J23" s="330" t="str">
        <f t="shared" si="3"/>
        <v/>
      </c>
      <c r="K23" s="735"/>
    </row>
    <row r="24" spans="1:11" ht="12.75" customHeight="1" x14ac:dyDescent="0.25">
      <c r="A24" s="776" t="str">
        <f t="shared" si="4"/>
        <v/>
      </c>
      <c r="B24" s="171"/>
      <c r="C24" s="748"/>
      <c r="D24" s="753"/>
      <c r="E24" s="733"/>
      <c r="F24" s="733"/>
      <c r="G24" s="733"/>
      <c r="H24" s="733"/>
      <c r="I24" s="44">
        <f t="shared" si="0"/>
        <v>0</v>
      </c>
      <c r="J24" s="330" t="str">
        <f t="shared" si="3"/>
        <v/>
      </c>
      <c r="K24" s="735"/>
    </row>
    <row r="25" spans="1:11" ht="12.75" customHeight="1" x14ac:dyDescent="0.25">
      <c r="A25" s="776" t="str">
        <f t="shared" si="4"/>
        <v/>
      </c>
      <c r="B25" s="171"/>
      <c r="C25" s="748"/>
      <c r="D25" s="753"/>
      <c r="E25" s="733"/>
      <c r="F25" s="733"/>
      <c r="G25" s="733"/>
      <c r="H25" s="733"/>
      <c r="I25" s="44">
        <f t="shared" si="0"/>
        <v>0</v>
      </c>
      <c r="J25" s="330" t="str">
        <f t="shared" si="3"/>
        <v/>
      </c>
      <c r="K25" s="735"/>
    </row>
    <row r="26" spans="1:11" ht="12.75" customHeight="1" x14ac:dyDescent="0.25">
      <c r="A26" s="776" t="str">
        <f t="shared" si="4"/>
        <v/>
      </c>
      <c r="B26" s="171"/>
      <c r="C26" s="748"/>
      <c r="D26" s="753"/>
      <c r="E26" s="733"/>
      <c r="F26" s="733"/>
      <c r="G26" s="733"/>
      <c r="H26" s="733"/>
      <c r="I26" s="44">
        <f t="shared" si="0"/>
        <v>0</v>
      </c>
      <c r="J26" s="330" t="str">
        <f t="shared" si="3"/>
        <v/>
      </c>
      <c r="K26" s="735"/>
    </row>
    <row r="27" spans="1:11" ht="12.75" customHeight="1" x14ac:dyDescent="0.25">
      <c r="A27" s="776" t="str">
        <f t="shared" si="4"/>
        <v/>
      </c>
      <c r="B27" s="171"/>
      <c r="C27" s="748"/>
      <c r="D27" s="753"/>
      <c r="E27" s="733"/>
      <c r="F27" s="733"/>
      <c r="G27" s="733"/>
      <c r="H27" s="733"/>
      <c r="I27" s="44">
        <f t="shared" si="0"/>
        <v>0</v>
      </c>
      <c r="J27" s="330" t="str">
        <f t="shared" si="3"/>
        <v/>
      </c>
      <c r="K27" s="735"/>
    </row>
    <row r="28" spans="1:11" ht="12.75" customHeight="1" x14ac:dyDescent="0.25">
      <c r="A28" s="776" t="str">
        <f t="shared" si="4"/>
        <v/>
      </c>
      <c r="B28" s="171"/>
      <c r="C28" s="748"/>
      <c r="D28" s="753"/>
      <c r="E28" s="733"/>
      <c r="F28" s="733"/>
      <c r="G28" s="733"/>
      <c r="H28" s="733"/>
      <c r="I28" s="44">
        <f t="shared" si="0"/>
        <v>0</v>
      </c>
      <c r="J28" s="330" t="str">
        <f t="shared" si="3"/>
        <v/>
      </c>
      <c r="K28" s="735"/>
    </row>
    <row r="29" spans="1:11" ht="12.75" customHeight="1" x14ac:dyDescent="0.25">
      <c r="A29" s="92" t="s">
        <v>904</v>
      </c>
      <c r="B29" s="233">
        <v>2</v>
      </c>
      <c r="C29" s="243">
        <f t="shared" ref="C29:H29" si="5">SUM(C19:C28)</f>
        <v>0</v>
      </c>
      <c r="D29" s="260">
        <f t="shared" si="5"/>
        <v>0</v>
      </c>
      <c r="E29" s="73">
        <f t="shared" si="5"/>
        <v>0</v>
      </c>
      <c r="F29" s="73">
        <f t="shared" si="5"/>
        <v>0</v>
      </c>
      <c r="G29" s="73">
        <f t="shared" si="5"/>
        <v>0</v>
      </c>
      <c r="H29" s="73">
        <f t="shared" si="5"/>
        <v>0</v>
      </c>
      <c r="I29" s="73">
        <f t="shared" si="0"/>
        <v>0</v>
      </c>
      <c r="J29" s="331" t="str">
        <f t="shared" si="3"/>
        <v/>
      </c>
      <c r="K29" s="145">
        <f>SUM(K19:K28)</f>
        <v>0</v>
      </c>
    </row>
    <row r="30" spans="1:11" ht="5.0999999999999996" customHeight="1" x14ac:dyDescent="0.25">
      <c r="A30" s="42"/>
      <c r="B30" s="169"/>
      <c r="C30" s="134"/>
      <c r="D30" s="258"/>
      <c r="E30" s="44"/>
      <c r="F30" s="44"/>
      <c r="G30" s="44"/>
      <c r="H30" s="44"/>
      <c r="I30" s="44"/>
      <c r="J30" s="330" t="str">
        <f t="shared" si="3"/>
        <v/>
      </c>
      <c r="K30" s="144"/>
    </row>
    <row r="31" spans="1:11" ht="12.75" customHeight="1" x14ac:dyDescent="0.25">
      <c r="A31" s="87" t="str">
        <f>Head42</f>
        <v>Surplus/ (Deficit) for the yr/period</v>
      </c>
      <c r="B31" s="169"/>
      <c r="C31" s="134">
        <f>C16-C29</f>
        <v>0</v>
      </c>
      <c r="D31" s="258">
        <f t="shared" ref="D31:K31" si="6">D16-D29</f>
        <v>0</v>
      </c>
      <c r="E31" s="44">
        <f t="shared" si="6"/>
        <v>0</v>
      </c>
      <c r="F31" s="44">
        <f t="shared" si="6"/>
        <v>0</v>
      </c>
      <c r="G31" s="44">
        <f t="shared" si="6"/>
        <v>0</v>
      </c>
      <c r="H31" s="44">
        <f t="shared" si="6"/>
        <v>0</v>
      </c>
      <c r="I31" s="44">
        <f>I16+I29</f>
        <v>0</v>
      </c>
      <c r="J31" s="330" t="str">
        <f t="shared" si="3"/>
        <v/>
      </c>
      <c r="K31" s="144">
        <f t="shared" si="6"/>
        <v>0</v>
      </c>
    </row>
    <row r="32" spans="1:11" ht="12.75" customHeight="1" x14ac:dyDescent="0.25">
      <c r="A32" s="35" t="s">
        <v>819</v>
      </c>
      <c r="B32" s="171"/>
      <c r="C32" s="134"/>
      <c r="D32" s="258"/>
      <c r="E32" s="44"/>
      <c r="F32" s="44"/>
      <c r="G32" s="44"/>
      <c r="H32" s="44"/>
      <c r="I32" s="44"/>
      <c r="J32" s="330"/>
      <c r="K32" s="144"/>
    </row>
    <row r="33" spans="1:11" ht="12.75" customHeight="1" x14ac:dyDescent="0.25">
      <c r="A33" s="793" t="str">
        <f>$A$6</f>
        <v>Insert name of municipal entity</v>
      </c>
      <c r="B33" s="171"/>
      <c r="C33" s="748"/>
      <c r="D33" s="753"/>
      <c r="E33" s="733"/>
      <c r="F33" s="733"/>
      <c r="G33" s="733"/>
      <c r="H33" s="733"/>
      <c r="I33" s="44">
        <f t="shared" si="0"/>
        <v>0</v>
      </c>
      <c r="J33" s="330" t="str">
        <f t="shared" si="3"/>
        <v/>
      </c>
      <c r="K33" s="735"/>
    </row>
    <row r="34" spans="1:11" ht="12.75" customHeight="1" x14ac:dyDescent="0.25">
      <c r="A34" s="776" t="str">
        <f>IF(A7="","",A7)</f>
        <v/>
      </c>
      <c r="B34" s="171"/>
      <c r="C34" s="748"/>
      <c r="D34" s="753"/>
      <c r="E34" s="733"/>
      <c r="F34" s="733"/>
      <c r="G34" s="733"/>
      <c r="H34" s="733"/>
      <c r="I34" s="44">
        <f t="shared" si="0"/>
        <v>0</v>
      </c>
      <c r="J34" s="330" t="str">
        <f t="shared" si="3"/>
        <v/>
      </c>
      <c r="K34" s="735"/>
    </row>
    <row r="35" spans="1:11" ht="12.75" customHeight="1" x14ac:dyDescent="0.25">
      <c r="A35" s="776" t="str">
        <f t="shared" ref="A35:A41" si="7">IF(A8="","",A8)</f>
        <v/>
      </c>
      <c r="B35" s="171"/>
      <c r="C35" s="748"/>
      <c r="D35" s="753"/>
      <c r="E35" s="733"/>
      <c r="F35" s="733"/>
      <c r="G35" s="733"/>
      <c r="H35" s="733"/>
      <c r="I35" s="44">
        <f t="shared" si="0"/>
        <v>0</v>
      </c>
      <c r="J35" s="330" t="str">
        <f t="shared" si="3"/>
        <v/>
      </c>
      <c r="K35" s="735"/>
    </row>
    <row r="36" spans="1:11" ht="12.75" customHeight="1" x14ac:dyDescent="0.25">
      <c r="A36" s="776" t="str">
        <f t="shared" si="7"/>
        <v/>
      </c>
      <c r="B36" s="171"/>
      <c r="C36" s="748"/>
      <c r="D36" s="753"/>
      <c r="E36" s="733"/>
      <c r="F36" s="733"/>
      <c r="G36" s="733"/>
      <c r="H36" s="733"/>
      <c r="I36" s="44">
        <f t="shared" si="0"/>
        <v>0</v>
      </c>
      <c r="J36" s="330" t="str">
        <f t="shared" si="3"/>
        <v/>
      </c>
      <c r="K36" s="735"/>
    </row>
    <row r="37" spans="1:11" ht="12.75" customHeight="1" x14ac:dyDescent="0.25">
      <c r="A37" s="776" t="str">
        <f t="shared" si="7"/>
        <v/>
      </c>
      <c r="B37" s="171"/>
      <c r="C37" s="748"/>
      <c r="D37" s="753"/>
      <c r="E37" s="733"/>
      <c r="F37" s="733"/>
      <c r="G37" s="733"/>
      <c r="H37" s="733"/>
      <c r="I37" s="44">
        <f t="shared" si="0"/>
        <v>0</v>
      </c>
      <c r="J37" s="330" t="str">
        <f t="shared" si="3"/>
        <v/>
      </c>
      <c r="K37" s="735"/>
    </row>
    <row r="38" spans="1:11" ht="12.75" customHeight="1" x14ac:dyDescent="0.25">
      <c r="A38" s="776" t="str">
        <f t="shared" si="7"/>
        <v/>
      </c>
      <c r="B38" s="171"/>
      <c r="C38" s="748"/>
      <c r="D38" s="753"/>
      <c r="E38" s="733"/>
      <c r="F38" s="733"/>
      <c r="G38" s="733"/>
      <c r="H38" s="733"/>
      <c r="I38" s="44">
        <f t="shared" si="0"/>
        <v>0</v>
      </c>
      <c r="J38" s="330" t="str">
        <f t="shared" si="3"/>
        <v/>
      </c>
      <c r="K38" s="735"/>
    </row>
    <row r="39" spans="1:11" ht="12.75" customHeight="1" x14ac:dyDescent="0.25">
      <c r="A39" s="776" t="str">
        <f t="shared" si="7"/>
        <v/>
      </c>
      <c r="B39" s="171"/>
      <c r="C39" s="748"/>
      <c r="D39" s="753"/>
      <c r="E39" s="733"/>
      <c r="F39" s="733"/>
      <c r="G39" s="733"/>
      <c r="H39" s="733"/>
      <c r="I39" s="44">
        <f t="shared" si="0"/>
        <v>0</v>
      </c>
      <c r="J39" s="330" t="str">
        <f t="shared" si="3"/>
        <v/>
      </c>
      <c r="K39" s="735"/>
    </row>
    <row r="40" spans="1:11" ht="12.75" customHeight="1" x14ac:dyDescent="0.25">
      <c r="A40" s="776" t="str">
        <f t="shared" si="7"/>
        <v/>
      </c>
      <c r="B40" s="171"/>
      <c r="C40" s="748"/>
      <c r="D40" s="753"/>
      <c r="E40" s="733"/>
      <c r="F40" s="733"/>
      <c r="G40" s="733"/>
      <c r="H40" s="733"/>
      <c r="I40" s="44">
        <f t="shared" si="0"/>
        <v>0</v>
      </c>
      <c r="J40" s="330" t="str">
        <f t="shared" si="3"/>
        <v/>
      </c>
      <c r="K40" s="735"/>
    </row>
    <row r="41" spans="1:11" ht="12.75" customHeight="1" x14ac:dyDescent="0.25">
      <c r="A41" s="776" t="str">
        <f t="shared" si="7"/>
        <v/>
      </c>
      <c r="B41" s="171"/>
      <c r="C41" s="748"/>
      <c r="D41" s="753"/>
      <c r="E41" s="733"/>
      <c r="F41" s="733"/>
      <c r="G41" s="733"/>
      <c r="H41" s="733"/>
      <c r="I41" s="44">
        <f t="shared" si="0"/>
        <v>0</v>
      </c>
      <c r="J41" s="330" t="str">
        <f t="shared" si="3"/>
        <v/>
      </c>
      <c r="K41" s="735"/>
    </row>
    <row r="42" spans="1:11" ht="5.0999999999999996" customHeight="1" x14ac:dyDescent="0.25">
      <c r="A42" s="776"/>
      <c r="B42" s="171"/>
      <c r="C42" s="748"/>
      <c r="D42" s="753"/>
      <c r="E42" s="733"/>
      <c r="F42" s="733"/>
      <c r="G42" s="733"/>
      <c r="H42" s="733"/>
      <c r="I42" s="44"/>
      <c r="J42" s="330" t="str">
        <f t="shared" si="3"/>
        <v/>
      </c>
      <c r="K42" s="735"/>
    </row>
    <row r="43" spans="1:11" ht="12.75" customHeight="1" x14ac:dyDescent="0.25">
      <c r="A43" s="113" t="s">
        <v>761</v>
      </c>
      <c r="B43" s="323">
        <v>3</v>
      </c>
      <c r="C43" s="112">
        <f>SUM(C32:C42)</f>
        <v>0</v>
      </c>
      <c r="D43" s="271">
        <f t="shared" ref="D43:K43" si="8">SUM(D32:D42)</f>
        <v>0</v>
      </c>
      <c r="E43" s="55">
        <f t="shared" si="8"/>
        <v>0</v>
      </c>
      <c r="F43" s="55">
        <f t="shared" si="8"/>
        <v>0</v>
      </c>
      <c r="G43" s="55">
        <f t="shared" si="8"/>
        <v>0</v>
      </c>
      <c r="H43" s="55">
        <f>SUM(H32:H42)</f>
        <v>0</v>
      </c>
      <c r="I43" s="55">
        <f>G43-H43</f>
        <v>0</v>
      </c>
      <c r="J43" s="332" t="str">
        <f t="shared" si="3"/>
        <v/>
      </c>
      <c r="K43" s="235">
        <f t="shared" si="8"/>
        <v>0</v>
      </c>
    </row>
    <row r="44" spans="1:11" ht="12.75" customHeight="1" x14ac:dyDescent="0.25">
      <c r="A44" s="57" t="str">
        <f>head27a</f>
        <v>References</v>
      </c>
      <c r="B44" s="114"/>
      <c r="C44" s="43"/>
      <c r="D44" s="43"/>
      <c r="E44" s="43"/>
      <c r="F44" s="43"/>
      <c r="G44" s="43"/>
      <c r="H44" s="43"/>
      <c r="I44" s="43"/>
      <c r="J44" s="43"/>
      <c r="K44" s="43"/>
    </row>
    <row r="45" spans="1:11" ht="12.75" customHeight="1" x14ac:dyDescent="0.25">
      <c r="A45" s="80" t="s">
        <v>969</v>
      </c>
      <c r="B45" s="58"/>
      <c r="C45" s="62"/>
      <c r="D45" s="62"/>
      <c r="E45" s="62"/>
      <c r="F45" s="62"/>
      <c r="G45" s="62"/>
      <c r="H45" s="62"/>
      <c r="I45" s="62"/>
      <c r="J45" s="62"/>
      <c r="K45" s="62"/>
    </row>
    <row r="46" spans="1:11" ht="12.75" customHeight="1" x14ac:dyDescent="0.25">
      <c r="A46" s="80" t="s">
        <v>970</v>
      </c>
      <c r="B46" s="58"/>
      <c r="C46" s="62"/>
      <c r="D46" s="62"/>
      <c r="E46" s="62"/>
      <c r="F46" s="62"/>
      <c r="G46" s="62"/>
      <c r="H46" s="62"/>
      <c r="I46" s="62"/>
      <c r="J46" s="62"/>
      <c r="K46" s="62"/>
    </row>
    <row r="47" spans="1:11" ht="12.75" customHeight="1" x14ac:dyDescent="0.25">
      <c r="A47" s="60" t="s">
        <v>619</v>
      </c>
      <c r="B47" s="58"/>
      <c r="C47" s="62"/>
      <c r="D47" s="62"/>
      <c r="E47" s="62"/>
      <c r="F47" s="62"/>
      <c r="G47" s="62"/>
      <c r="H47" s="62"/>
      <c r="I47" s="62"/>
      <c r="J47" s="62"/>
      <c r="K47" s="62"/>
    </row>
    <row r="48" spans="1:11" ht="12.75" customHeight="1" x14ac:dyDescent="0.25">
      <c r="A48" s="80" t="s">
        <v>641</v>
      </c>
      <c r="B48" s="58"/>
      <c r="C48" s="62"/>
      <c r="D48" s="62"/>
      <c r="E48" s="62"/>
      <c r="F48" s="62"/>
      <c r="G48" s="62"/>
      <c r="H48" s="62"/>
      <c r="I48" s="62"/>
      <c r="J48" s="62"/>
      <c r="K48" s="62"/>
    </row>
    <row r="49" spans="1:11" ht="12.75" customHeight="1" x14ac:dyDescent="0.25">
      <c r="A49" s="322" t="s">
        <v>572</v>
      </c>
      <c r="B49" s="64"/>
      <c r="C49" s="66"/>
      <c r="D49" s="66"/>
      <c r="E49" s="66"/>
      <c r="F49" s="66"/>
      <c r="G49" s="66"/>
      <c r="H49" s="66"/>
      <c r="I49" s="66"/>
      <c r="J49" s="66"/>
      <c r="K49" s="66"/>
    </row>
    <row r="50" spans="1:11" ht="11.25" customHeight="1" x14ac:dyDescent="0.25">
      <c r="A50" s="65"/>
      <c r="B50" s="64"/>
      <c r="C50" s="66"/>
      <c r="D50" s="66"/>
      <c r="E50" s="66"/>
      <c r="F50" s="66"/>
      <c r="G50" s="66"/>
      <c r="H50" s="66"/>
      <c r="I50" s="66"/>
      <c r="J50" s="66"/>
      <c r="K50" s="66"/>
    </row>
    <row r="51" spans="1:11" ht="11.25" customHeight="1" x14ac:dyDescent="0.25">
      <c r="B51" s="25"/>
    </row>
    <row r="52" spans="1:11" ht="11.25" customHeight="1" x14ac:dyDescent="0.25">
      <c r="B52" s="25"/>
    </row>
    <row r="53" spans="1:11" x14ac:dyDescent="0.25">
      <c r="B53" s="25"/>
    </row>
    <row r="54" spans="1:11" ht="11.25" customHeight="1" x14ac:dyDescent="0.25">
      <c r="B54" s="25"/>
    </row>
    <row r="55" spans="1:11" ht="11.25" customHeight="1" x14ac:dyDescent="0.25">
      <c r="B55" s="25"/>
    </row>
    <row r="56" spans="1:11" ht="11.25" customHeight="1" x14ac:dyDescent="0.25">
      <c r="B56" s="25"/>
    </row>
    <row r="57" spans="1:11" x14ac:dyDescent="0.25">
      <c r="B57" s="25"/>
    </row>
    <row r="58" spans="1:11" ht="11.25" customHeight="1" x14ac:dyDescent="0.25">
      <c r="B58" s="25"/>
    </row>
    <row r="59" spans="1:11" ht="11.25" customHeight="1" x14ac:dyDescent="0.25">
      <c r="B59" s="25"/>
    </row>
    <row r="60" spans="1:11" x14ac:dyDescent="0.25">
      <c r="B60" s="25"/>
    </row>
    <row r="61" spans="1:11" ht="11.25" customHeight="1" x14ac:dyDescent="0.25">
      <c r="B61" s="25"/>
    </row>
    <row r="62" spans="1:11" ht="11.25" customHeight="1" x14ac:dyDescent="0.25">
      <c r="B62" s="25"/>
    </row>
    <row r="63" spans="1:11" ht="11.25" customHeight="1" x14ac:dyDescent="0.25">
      <c r="B63" s="25"/>
    </row>
    <row r="64" spans="1:11"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row r="85" spans="2:2" ht="11.25" customHeight="1" x14ac:dyDescent="0.25"/>
  </sheetData>
  <sheetProtection sheet="1" objects="1" scenarios="1"/>
  <mergeCells count="4">
    <mergeCell ref="A2:A3"/>
    <mergeCell ref="B2:B3"/>
    <mergeCell ref="A1:K1"/>
    <mergeCell ref="D2:K2"/>
  </mergeCells>
  <phoneticPr fontId="2" type="noConversion"/>
  <printOptions horizontalCentered="1"/>
  <pageMargins left="0.35" right="0.21" top="0.78" bottom="0.6" header="0.51181102362204722" footer="0.39"/>
  <pageSetup paperSize="9" scale="8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indexed="42"/>
    <pageSetUpPr fitToPage="1"/>
  </sheetPr>
  <dimension ref="A1:J59"/>
  <sheetViews>
    <sheetView showGridLines="0" zoomScaleNormal="100" workbookViewId="0">
      <pane xSplit="1" ySplit="4" topLeftCell="B5" activePane="bottomRight" state="frozen"/>
      <selection pane="topRight"/>
      <selection pane="bottomLeft"/>
      <selection pane="bottomRight" activeCell="E11" sqref="E11"/>
    </sheetView>
  </sheetViews>
  <sheetFormatPr defaultColWidth="9.140625" defaultRowHeight="12.75" x14ac:dyDescent="0.25"/>
  <cols>
    <col min="1" max="1" width="35.140625" style="25" customWidth="1"/>
    <col min="2" max="7" width="8.7109375" style="25" customWidth="1"/>
    <col min="8" max="9" width="6.7109375" style="25" customWidth="1"/>
    <col min="10" max="10" width="8.7109375" style="25" customWidth="1"/>
    <col min="11" max="11" width="38.28515625" style="25" bestFit="1" customWidth="1"/>
    <col min="12" max="12" width="9.5703125" style="25" customWidth="1"/>
    <col min="13" max="13" width="9.85546875" style="25" customWidth="1"/>
    <col min="14" max="16" width="9.5703125" style="25" customWidth="1"/>
    <col min="17" max="18" width="9.85546875" style="25" customWidth="1"/>
    <col min="19" max="16384" width="9.140625" style="25"/>
  </cols>
  <sheetData>
    <row r="1" spans="1:10" ht="13.5" x14ac:dyDescent="0.25">
      <c r="A1" s="1053" t="str">
        <f>muni&amp; " - "&amp;S71R&amp; " - "&amp;Head57</f>
        <v>KZN225 Msunduzi - Supporting Table SC12 Consolidated Monthly Budget Statement - capital expenditure trend  - Mid-Year Assessment</v>
      </c>
      <c r="B1" s="1053"/>
      <c r="C1" s="1053"/>
      <c r="D1" s="1053"/>
      <c r="E1" s="1053"/>
      <c r="F1" s="1053"/>
      <c r="G1" s="1053"/>
      <c r="H1" s="1053"/>
      <c r="I1" s="1053"/>
      <c r="J1" s="1053"/>
    </row>
    <row r="2" spans="1:10" x14ac:dyDescent="0.25">
      <c r="A2" s="1042" t="s">
        <v>887</v>
      </c>
      <c r="B2" s="139" t="str">
        <f>Head1</f>
        <v>2019/20</v>
      </c>
      <c r="C2" s="1037" t="str">
        <f>Head2</f>
        <v>Budget Year 2020/21</v>
      </c>
      <c r="D2" s="1038"/>
      <c r="E2" s="1038"/>
      <c r="F2" s="1038"/>
      <c r="G2" s="1038"/>
      <c r="H2" s="1038"/>
      <c r="I2" s="1038"/>
      <c r="J2" s="1039"/>
    </row>
    <row r="3" spans="1:10" ht="38.25" x14ac:dyDescent="0.25">
      <c r="A3" s="1043"/>
      <c r="B3" s="159" t="str">
        <f>Head5</f>
        <v>Audited Outcome</v>
      </c>
      <c r="C3" s="257"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
        <v>78</v>
      </c>
    </row>
    <row r="4" spans="1:10" x14ac:dyDescent="0.25">
      <c r="A4" s="291" t="s">
        <v>667</v>
      </c>
      <c r="B4" s="292"/>
      <c r="C4" s="298"/>
      <c r="D4" s="294"/>
      <c r="E4" s="295"/>
      <c r="F4" s="295"/>
      <c r="G4" s="295"/>
      <c r="H4" s="295"/>
      <c r="I4" s="296" t="s">
        <v>575</v>
      </c>
      <c r="J4" s="297"/>
    </row>
    <row r="5" spans="1:10" ht="12.75" customHeight="1" x14ac:dyDescent="0.25">
      <c r="A5" s="35" t="s">
        <v>473</v>
      </c>
      <c r="B5" s="134"/>
      <c r="C5" s="258"/>
      <c r="D5" s="44"/>
      <c r="E5" s="44"/>
      <c r="F5" s="44"/>
      <c r="G5" s="44"/>
      <c r="H5" s="44"/>
      <c r="I5" s="124"/>
      <c r="J5" s="144"/>
    </row>
    <row r="6" spans="1:10" ht="12.75" customHeight="1" x14ac:dyDescent="0.25">
      <c r="A6" s="39" t="s">
        <v>782</v>
      </c>
      <c r="B6" s="748">
        <v>66093583.333333336</v>
      </c>
      <c r="C6" s="753">
        <v>48407631.75</v>
      </c>
      <c r="D6" s="733"/>
      <c r="E6" s="733">
        <v>936648.53999999957</v>
      </c>
      <c r="F6" s="408">
        <f>IF(E6&gt;0,E6,"")</f>
        <v>936648.53999999957</v>
      </c>
      <c r="G6" s="408">
        <f>IF(D6&gt;0,D6,C6)</f>
        <v>48407631.75</v>
      </c>
      <c r="H6" s="44">
        <f t="shared" ref="H6:H16" si="0">IF(F6="",0,G6-F6)</f>
        <v>47470983.210000001</v>
      </c>
      <c r="I6" s="124">
        <f t="shared" ref="I6:I16" si="1">IF(F6="","",IF(H6=0,"",H6/G6))</f>
        <v>0.9806508084337342</v>
      </c>
      <c r="J6" s="674">
        <f t="shared" ref="J6:J16" si="2">IF(F6="","",F6/$C$18)</f>
        <v>1.6124326305221482E-3</v>
      </c>
    </row>
    <row r="7" spans="1:10" ht="12.75" customHeight="1" x14ac:dyDescent="0.25">
      <c r="A7" s="39" t="s">
        <v>905</v>
      </c>
      <c r="B7" s="748">
        <v>66093583.333333336</v>
      </c>
      <c r="C7" s="753">
        <v>48407631.75</v>
      </c>
      <c r="D7" s="733"/>
      <c r="E7" s="733">
        <v>28293360.050000001</v>
      </c>
      <c r="F7" s="408">
        <f>IF(E7&gt;0,E7+F6,"")</f>
        <v>29230008.59</v>
      </c>
      <c r="G7" s="408">
        <f>IF(D7&gt;0,D7+D6,C7+C6)</f>
        <v>96815263.5</v>
      </c>
      <c r="H7" s="44">
        <f t="shared" si="0"/>
        <v>67585254.909999996</v>
      </c>
      <c r="I7" s="124">
        <f t="shared" si="1"/>
        <v>0.69808470758332442</v>
      </c>
      <c r="J7" s="674">
        <f t="shared" si="2"/>
        <v>5.0319215402779269E-2</v>
      </c>
    </row>
    <row r="8" spans="1:10" ht="12.75" customHeight="1" x14ac:dyDescent="0.25">
      <c r="A8" s="39" t="s">
        <v>541</v>
      </c>
      <c r="B8" s="748">
        <v>66093583.333333336</v>
      </c>
      <c r="C8" s="753">
        <v>48407631.75</v>
      </c>
      <c r="D8" s="733"/>
      <c r="E8" s="733">
        <v>51276404.180000007</v>
      </c>
      <c r="F8" s="408">
        <f t="shared" ref="F8:F17" si="3">IF(E8&gt;0,E8+F7,"")</f>
        <v>80506412.770000011</v>
      </c>
      <c r="G8" s="408">
        <f>IF(D8&gt;0,D8+G7,C8+G7)</f>
        <v>145222895.25</v>
      </c>
      <c r="H8" s="44">
        <f t="shared" si="0"/>
        <v>64716482.479999989</v>
      </c>
      <c r="I8" s="124">
        <f t="shared" si="1"/>
        <v>0.44563553404296963</v>
      </c>
      <c r="J8" s="674">
        <f t="shared" si="2"/>
        <v>0.13859111648925759</v>
      </c>
    </row>
    <row r="9" spans="1:10" ht="12.75" customHeight="1" x14ac:dyDescent="0.25">
      <c r="A9" s="39" t="s">
        <v>906</v>
      </c>
      <c r="B9" s="748">
        <v>66093583.333333336</v>
      </c>
      <c r="C9" s="753">
        <v>48407631.75</v>
      </c>
      <c r="D9" s="733"/>
      <c r="E9" s="733">
        <v>34751661.439999998</v>
      </c>
      <c r="F9" s="408">
        <f t="shared" si="3"/>
        <v>115258074.21000001</v>
      </c>
      <c r="G9" s="408">
        <f t="shared" ref="G9:G17" si="4">IF(D9&gt;0,D9+G8,C9+G8)</f>
        <v>193630527</v>
      </c>
      <c r="H9" s="44">
        <f t="shared" si="0"/>
        <v>78372452.789999992</v>
      </c>
      <c r="I9" s="124">
        <f t="shared" si="1"/>
        <v>0.40475256667560477</v>
      </c>
      <c r="J9" s="674">
        <f t="shared" si="2"/>
        <v>0.19841581110813175</v>
      </c>
    </row>
    <row r="10" spans="1:10" ht="12.75" customHeight="1" x14ac:dyDescent="0.25">
      <c r="A10" s="39" t="s">
        <v>907</v>
      </c>
      <c r="B10" s="748">
        <v>66093583.333333336</v>
      </c>
      <c r="C10" s="753">
        <v>48407631.75</v>
      </c>
      <c r="D10" s="733"/>
      <c r="E10" s="733">
        <v>64917006.57</v>
      </c>
      <c r="F10" s="408">
        <f t="shared" si="3"/>
        <v>180175080.78</v>
      </c>
      <c r="G10" s="408">
        <f t="shared" si="4"/>
        <v>242038158.75</v>
      </c>
      <c r="H10" s="44">
        <f t="shared" si="0"/>
        <v>61863077.969999999</v>
      </c>
      <c r="I10" s="124">
        <f t="shared" si="1"/>
        <v>0.25559225160813615</v>
      </c>
      <c r="J10" s="674">
        <f t="shared" si="2"/>
        <v>0.31016989516327659</v>
      </c>
    </row>
    <row r="11" spans="1:10" ht="12.75" customHeight="1" x14ac:dyDescent="0.25">
      <c r="A11" s="39" t="s">
        <v>908</v>
      </c>
      <c r="B11" s="748">
        <v>66093583.333333336</v>
      </c>
      <c r="C11" s="753">
        <v>48407631.75</v>
      </c>
      <c r="D11" s="733"/>
      <c r="E11" s="733">
        <v>66591378.019999981</v>
      </c>
      <c r="F11" s="408">
        <f t="shared" si="3"/>
        <v>246766458.79999998</v>
      </c>
      <c r="G11" s="408">
        <f t="shared" si="4"/>
        <v>290445790.5</v>
      </c>
      <c r="H11" s="44">
        <f t="shared" si="0"/>
        <v>43679331.700000018</v>
      </c>
      <c r="I11" s="124">
        <f t="shared" si="1"/>
        <v>0.15038720865882205</v>
      </c>
      <c r="J11" s="674">
        <f t="shared" si="2"/>
        <v>0.42480639567058898</v>
      </c>
    </row>
    <row r="12" spans="1:10" ht="12.75" customHeight="1" x14ac:dyDescent="0.25">
      <c r="A12" s="39" t="s">
        <v>909</v>
      </c>
      <c r="B12" s="748">
        <v>66093583.333333336</v>
      </c>
      <c r="C12" s="753">
        <v>48407631.75</v>
      </c>
      <c r="D12" s="1001"/>
      <c r="E12" s="733"/>
      <c r="F12" s="408" t="str">
        <f t="shared" si="3"/>
        <v/>
      </c>
      <c r="G12" s="408">
        <f t="shared" si="4"/>
        <v>338853422.25</v>
      </c>
      <c r="H12" s="44">
        <f t="shared" si="0"/>
        <v>0</v>
      </c>
      <c r="I12" s="124" t="str">
        <f t="shared" si="1"/>
        <v/>
      </c>
      <c r="J12" s="674" t="str">
        <f t="shared" si="2"/>
        <v/>
      </c>
    </row>
    <row r="13" spans="1:10" ht="12.75" customHeight="1" x14ac:dyDescent="0.25">
      <c r="A13" s="39" t="s">
        <v>910</v>
      </c>
      <c r="B13" s="748">
        <v>66093583.333333336</v>
      </c>
      <c r="C13" s="753">
        <v>48407631.75</v>
      </c>
      <c r="D13" s="733"/>
      <c r="E13" s="733"/>
      <c r="F13" s="408" t="str">
        <f t="shared" si="3"/>
        <v/>
      </c>
      <c r="G13" s="408">
        <f t="shared" si="4"/>
        <v>387261054</v>
      </c>
      <c r="H13" s="44">
        <f t="shared" si="0"/>
        <v>0</v>
      </c>
      <c r="I13" s="124" t="str">
        <f t="shared" si="1"/>
        <v/>
      </c>
      <c r="J13" s="674" t="str">
        <f t="shared" si="2"/>
        <v/>
      </c>
    </row>
    <row r="14" spans="1:10" ht="12.75" customHeight="1" x14ac:dyDescent="0.25">
      <c r="A14" s="39" t="s">
        <v>911</v>
      </c>
      <c r="B14" s="748">
        <v>66093583.333333336</v>
      </c>
      <c r="C14" s="753">
        <v>48407631.75</v>
      </c>
      <c r="D14" s="733"/>
      <c r="E14" s="733"/>
      <c r="F14" s="408" t="str">
        <f t="shared" si="3"/>
        <v/>
      </c>
      <c r="G14" s="408">
        <f t="shared" si="4"/>
        <v>435668685.75</v>
      </c>
      <c r="H14" s="44">
        <f t="shared" si="0"/>
        <v>0</v>
      </c>
      <c r="I14" s="124" t="str">
        <f t="shared" si="1"/>
        <v/>
      </c>
      <c r="J14" s="674" t="str">
        <f t="shared" si="2"/>
        <v/>
      </c>
    </row>
    <row r="15" spans="1:10" ht="12.75" customHeight="1" x14ac:dyDescent="0.25">
      <c r="A15" s="39" t="s">
        <v>912</v>
      </c>
      <c r="B15" s="748">
        <v>66093583.333333336</v>
      </c>
      <c r="C15" s="753">
        <v>48407631.75</v>
      </c>
      <c r="D15" s="733"/>
      <c r="E15" s="733"/>
      <c r="F15" s="408" t="str">
        <f t="shared" si="3"/>
        <v/>
      </c>
      <c r="G15" s="408">
        <f t="shared" si="4"/>
        <v>484076317.5</v>
      </c>
      <c r="H15" s="44">
        <f t="shared" si="0"/>
        <v>0</v>
      </c>
      <c r="I15" s="124" t="str">
        <f t="shared" si="1"/>
        <v/>
      </c>
      <c r="J15" s="675" t="str">
        <f t="shared" si="2"/>
        <v/>
      </c>
    </row>
    <row r="16" spans="1:10" ht="12.75" customHeight="1" x14ac:dyDescent="0.25">
      <c r="A16" s="39" t="s">
        <v>913</v>
      </c>
      <c r="B16" s="748">
        <v>66093583.333333336</v>
      </c>
      <c r="C16" s="753">
        <v>48407631.75</v>
      </c>
      <c r="D16" s="733"/>
      <c r="E16" s="733"/>
      <c r="F16" s="408" t="str">
        <f t="shared" si="3"/>
        <v/>
      </c>
      <c r="G16" s="408">
        <f t="shared" si="4"/>
        <v>532483949.25</v>
      </c>
      <c r="H16" s="44">
        <f t="shared" si="0"/>
        <v>0</v>
      </c>
      <c r="I16" s="124" t="str">
        <f t="shared" si="1"/>
        <v/>
      </c>
      <c r="J16" s="675" t="str">
        <f t="shared" si="2"/>
        <v/>
      </c>
    </row>
    <row r="17" spans="1:10" ht="12.75" customHeight="1" x14ac:dyDescent="0.25">
      <c r="A17" s="247" t="s">
        <v>914</v>
      </c>
      <c r="B17" s="749">
        <v>66093583.333333336</v>
      </c>
      <c r="C17" s="753">
        <v>48407631.75</v>
      </c>
      <c r="D17" s="751"/>
      <c r="E17" s="751"/>
      <c r="F17" s="409" t="str">
        <f t="shared" si="3"/>
        <v/>
      </c>
      <c r="G17" s="409">
        <f t="shared" si="4"/>
        <v>580891581</v>
      </c>
      <c r="H17" s="99">
        <f>IF(F17="",0,G17-F17)</f>
        <v>0</v>
      </c>
      <c r="I17" s="324" t="str">
        <f>IF(F17="","",IF(H17=0,"",H17/G17))</f>
        <v/>
      </c>
      <c r="J17" s="676" t="str">
        <f>IF(F17="","",F17/$C$18)</f>
        <v/>
      </c>
    </row>
    <row r="18" spans="1:10" ht="12.75" customHeight="1" x14ac:dyDescent="0.25">
      <c r="A18" s="94" t="s">
        <v>565</v>
      </c>
      <c r="B18" s="244">
        <f>SUM(B6:B17)</f>
        <v>793123000.00000012</v>
      </c>
      <c r="C18" s="265">
        <f>SUM(C6:C17)</f>
        <v>580891581</v>
      </c>
      <c r="D18" s="76">
        <f>SUM(D6:D17)</f>
        <v>0</v>
      </c>
      <c r="E18" s="76">
        <f>SUM(E6:E17)</f>
        <v>246766458.79999998</v>
      </c>
      <c r="F18" s="334"/>
      <c r="G18" s="334"/>
      <c r="H18" s="334"/>
      <c r="I18" s="410"/>
      <c r="J18" s="234"/>
    </row>
    <row r="19" spans="1:10" ht="12.75" customHeight="1" x14ac:dyDescent="0.25">
      <c r="A19" s="67"/>
      <c r="B19" s="84"/>
      <c r="C19" s="84"/>
      <c r="D19" s="84"/>
      <c r="E19" s="84"/>
      <c r="F19" s="84"/>
      <c r="G19" s="84"/>
      <c r="H19" s="84"/>
      <c r="I19" s="84"/>
      <c r="J19" s="84"/>
    </row>
    <row r="20" spans="1:10" ht="12.75" customHeight="1" x14ac:dyDescent="0.25">
      <c r="A20" s="67"/>
      <c r="B20" s="67"/>
      <c r="C20" s="67"/>
      <c r="D20" s="67"/>
      <c r="E20" s="67"/>
      <c r="F20" s="67"/>
      <c r="G20" s="67"/>
      <c r="H20" s="67"/>
      <c r="I20" s="67"/>
      <c r="J20" s="67"/>
    </row>
    <row r="21" spans="1:10" ht="11.25" customHeight="1" x14ac:dyDescent="0.25"/>
    <row r="22" spans="1:10" ht="11.25" customHeight="1" x14ac:dyDescent="0.25"/>
    <row r="23" spans="1:10" ht="11.25" customHeight="1" x14ac:dyDescent="0.25"/>
    <row r="24" spans="1:10" ht="11.25" customHeight="1" x14ac:dyDescent="0.25"/>
    <row r="25" spans="1:10" ht="11.25" customHeight="1" x14ac:dyDescent="0.25"/>
    <row r="26" spans="1:10" ht="11.25" customHeight="1" x14ac:dyDescent="0.25"/>
    <row r="27" spans="1:10" ht="11.25" customHeight="1" x14ac:dyDescent="0.25"/>
    <row r="28" spans="1:10" ht="11.25" customHeight="1" x14ac:dyDescent="0.25"/>
    <row r="29" spans="1:10" ht="11.25" customHeight="1" x14ac:dyDescent="0.25"/>
    <row r="30" spans="1:10" ht="11.25" customHeight="1" x14ac:dyDescent="0.25"/>
    <row r="31" spans="1:10" ht="11.25" customHeight="1" x14ac:dyDescent="0.25"/>
    <row r="32" spans="1:10"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6" ht="5.0999999999999996" customHeight="1" x14ac:dyDescent="0.25"/>
    <row r="59" ht="5.0999999999999996" customHeight="1" x14ac:dyDescent="0.25"/>
  </sheetData>
  <sheetProtection sheet="1" objects="1" scenarios="1"/>
  <mergeCells count="3">
    <mergeCell ref="A2:A3"/>
    <mergeCell ref="A1:J1"/>
    <mergeCell ref="C2:J2"/>
  </mergeCells>
  <phoneticPr fontId="2" type="noConversion"/>
  <printOptions horizontalCentered="1"/>
  <pageMargins left="0.35433070866141736" right="0.15748031496062992" top="0.78740157480314965" bottom="0.59055118110236227" header="0.51181102362204722"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10"/>
  <sheetViews>
    <sheetView workbookViewId="0">
      <pane ySplit="1" topLeftCell="A74" activePane="bottomLeft" state="frozen"/>
      <selection activeCell="T26" sqref="T26"/>
      <selection pane="bottomLeft" activeCell="F100" sqref="F100"/>
    </sheetView>
  </sheetViews>
  <sheetFormatPr defaultColWidth="9.140625" defaultRowHeight="11.25" x14ac:dyDescent="0.2"/>
  <cols>
    <col min="1" max="1" width="10.7109375" style="6" customWidth="1"/>
    <col min="2" max="2" width="92.140625" style="1" customWidth="1"/>
    <col min="3" max="3" width="18.7109375" style="1" customWidth="1"/>
    <col min="4" max="4" width="18.5703125" style="1" customWidth="1"/>
    <col min="5" max="5" width="61.5703125" style="1" customWidth="1"/>
    <col min="6" max="6" width="78.140625" style="1" customWidth="1"/>
    <col min="7" max="16384" width="9.140625" style="1"/>
  </cols>
  <sheetData>
    <row r="1" spans="1:4" x14ac:dyDescent="0.2">
      <c r="A1" s="1003" t="s">
        <v>642</v>
      </c>
      <c r="B1" s="1004"/>
      <c r="C1" s="1004"/>
      <c r="D1" s="1005"/>
    </row>
    <row r="2" spans="1:4" x14ac:dyDescent="0.2">
      <c r="A2" s="721" t="s">
        <v>903</v>
      </c>
      <c r="B2" s="722" t="str">
        <f>HLOOKUP(MTREF,Headings,2)</f>
        <v>2019/20</v>
      </c>
      <c r="C2" s="723" t="s">
        <v>42</v>
      </c>
      <c r="D2" s="724"/>
    </row>
    <row r="3" spans="1:4" x14ac:dyDescent="0.2">
      <c r="A3" s="725" t="s">
        <v>935</v>
      </c>
      <c r="B3" s="726" t="str">
        <f>HLOOKUP(MTREF,Headings,5)</f>
        <v>Budget Year 2020/21</v>
      </c>
      <c r="C3" s="726" t="s">
        <v>47</v>
      </c>
      <c r="D3" s="727"/>
    </row>
    <row r="4" spans="1:4" x14ac:dyDescent="0.2">
      <c r="A4" s="725" t="s">
        <v>684</v>
      </c>
      <c r="B4" s="726" t="str">
        <f>HLOOKUP(MTREF,Headings,4)</f>
        <v>2020/21</v>
      </c>
      <c r="C4" s="726" t="s">
        <v>48</v>
      </c>
      <c r="D4" s="727"/>
    </row>
    <row r="5" spans="1:4" x14ac:dyDescent="0.2">
      <c r="A5" s="725" t="s">
        <v>936</v>
      </c>
      <c r="B5" s="726" t="str">
        <f>HLOOKUP(MTREF,Headings,3)</f>
        <v>2020/21 Medium Term Revenue &amp; Expenditure Framework</v>
      </c>
      <c r="C5" s="726" t="s">
        <v>43</v>
      </c>
      <c r="D5" s="727"/>
    </row>
    <row r="6" spans="1:4" x14ac:dyDescent="0.2">
      <c r="A6" s="2" t="s">
        <v>937</v>
      </c>
      <c r="B6" s="4" t="s">
        <v>517</v>
      </c>
      <c r="C6" s="4"/>
      <c r="D6" s="9"/>
    </row>
    <row r="7" spans="1:4" x14ac:dyDescent="0.2">
      <c r="A7" s="2" t="s">
        <v>549</v>
      </c>
      <c r="B7" s="4" t="s">
        <v>550</v>
      </c>
      <c r="C7" s="4"/>
      <c r="D7" s="9"/>
    </row>
    <row r="8" spans="1:4" x14ac:dyDescent="0.2">
      <c r="A8" s="2" t="s">
        <v>964</v>
      </c>
      <c r="B8" s="4" t="s">
        <v>965</v>
      </c>
      <c r="C8" s="4"/>
      <c r="D8" s="9"/>
    </row>
    <row r="9" spans="1:4" x14ac:dyDescent="0.2">
      <c r="A9" s="2" t="s">
        <v>938</v>
      </c>
      <c r="B9" s="4" t="s">
        <v>609</v>
      </c>
      <c r="C9" s="4"/>
      <c r="D9" s="9"/>
    </row>
    <row r="10" spans="1:4" x14ac:dyDescent="0.2">
      <c r="A10" s="2" t="s">
        <v>939</v>
      </c>
      <c r="B10" s="4" t="s">
        <v>832</v>
      </c>
      <c r="C10" s="4"/>
      <c r="D10" s="9"/>
    </row>
    <row r="11" spans="1:4" x14ac:dyDescent="0.2">
      <c r="A11" s="2" t="s">
        <v>940</v>
      </c>
      <c r="B11" s="4" t="s">
        <v>833</v>
      </c>
      <c r="C11" s="4"/>
      <c r="D11" s="9"/>
    </row>
    <row r="12" spans="1:4" x14ac:dyDescent="0.2">
      <c r="A12" s="725" t="s">
        <v>941</v>
      </c>
      <c r="B12" s="726" t="str">
        <f>HLOOKUP(MTREF,Headings,5)</f>
        <v>Budget Year 2020/21</v>
      </c>
      <c r="C12" s="726" t="s">
        <v>44</v>
      </c>
      <c r="D12" s="728" t="s">
        <v>698</v>
      </c>
    </row>
    <row r="13" spans="1:4" x14ac:dyDescent="0.2">
      <c r="A13" s="725" t="s">
        <v>942</v>
      </c>
      <c r="B13" s="726" t="str">
        <f>HLOOKUP(MTREF,Headings,6)</f>
        <v>Budget Year +1 2021/22</v>
      </c>
      <c r="C13" s="726" t="s">
        <v>45</v>
      </c>
      <c r="D13" s="728" t="s">
        <v>699</v>
      </c>
    </row>
    <row r="14" spans="1:4" x14ac:dyDescent="0.2">
      <c r="A14" s="725" t="s">
        <v>944</v>
      </c>
      <c r="B14" s="726" t="str">
        <f>HLOOKUP(MTREF,Headings,7)</f>
        <v>Budget Year +2 2022/23</v>
      </c>
      <c r="C14" s="726" t="s">
        <v>46</v>
      </c>
      <c r="D14" s="728" t="s">
        <v>700</v>
      </c>
    </row>
    <row r="15" spans="1:4" x14ac:dyDescent="0.2">
      <c r="A15" s="2" t="s">
        <v>945</v>
      </c>
      <c r="B15" s="4" t="s">
        <v>707</v>
      </c>
      <c r="C15" s="4"/>
      <c r="D15" s="14" t="s">
        <v>701</v>
      </c>
    </row>
    <row r="16" spans="1:4" x14ac:dyDescent="0.2">
      <c r="A16" s="2" t="s">
        <v>946</v>
      </c>
      <c r="B16" s="4" t="s">
        <v>708</v>
      </c>
      <c r="C16" s="4"/>
      <c r="D16" s="14" t="s">
        <v>702</v>
      </c>
    </row>
    <row r="17" spans="1:4" x14ac:dyDescent="0.2">
      <c r="A17" s="2" t="s">
        <v>947</v>
      </c>
      <c r="B17" s="4" t="s">
        <v>709</v>
      </c>
      <c r="C17" s="4"/>
      <c r="D17" s="14" t="s">
        <v>703</v>
      </c>
    </row>
    <row r="18" spans="1:4" x14ac:dyDescent="0.2">
      <c r="A18" s="2" t="s">
        <v>948</v>
      </c>
      <c r="B18" s="4" t="s">
        <v>710</v>
      </c>
      <c r="C18" s="4"/>
      <c r="D18" s="14" t="s">
        <v>704</v>
      </c>
    </row>
    <row r="19" spans="1:4" x14ac:dyDescent="0.2">
      <c r="A19" s="2" t="s">
        <v>949</v>
      </c>
      <c r="B19" s="4" t="s">
        <v>558</v>
      </c>
      <c r="C19" s="4"/>
      <c r="D19" s="14" t="s">
        <v>705</v>
      </c>
    </row>
    <row r="20" spans="1:4" x14ac:dyDescent="0.2">
      <c r="A20" s="2" t="s">
        <v>950</v>
      </c>
      <c r="B20" s="4" t="s">
        <v>559</v>
      </c>
      <c r="C20" s="4"/>
      <c r="D20" s="14" t="s">
        <v>706</v>
      </c>
    </row>
    <row r="21" spans="1:4" x14ac:dyDescent="0.2">
      <c r="A21" s="2" t="s">
        <v>951</v>
      </c>
      <c r="B21" s="4" t="s">
        <v>560</v>
      </c>
      <c r="C21" s="4"/>
      <c r="D21" s="14" t="s">
        <v>618</v>
      </c>
    </row>
    <row r="22" spans="1:4" x14ac:dyDescent="0.2">
      <c r="A22" s="2" t="s">
        <v>952</v>
      </c>
      <c r="B22" s="4" t="s">
        <v>561</v>
      </c>
      <c r="C22" s="4"/>
      <c r="D22" s="14" t="s">
        <v>480</v>
      </c>
    </row>
    <row r="23" spans="1:4" x14ac:dyDescent="0.2">
      <c r="A23" s="2" t="s">
        <v>953</v>
      </c>
      <c r="B23" s="4" t="s">
        <v>443</v>
      </c>
      <c r="C23" s="4"/>
      <c r="D23" s="14" t="s">
        <v>481</v>
      </c>
    </row>
    <row r="24" spans="1:4" x14ac:dyDescent="0.2">
      <c r="A24" s="2" t="s">
        <v>954</v>
      </c>
      <c r="B24" s="4" t="s">
        <v>442</v>
      </c>
      <c r="C24" s="4"/>
      <c r="D24" s="14" t="s">
        <v>482</v>
      </c>
    </row>
    <row r="25" spans="1:4" x14ac:dyDescent="0.2">
      <c r="A25" s="2" t="s">
        <v>955</v>
      </c>
      <c r="B25" s="4" t="s">
        <v>562</v>
      </c>
      <c r="C25" s="4"/>
      <c r="D25" s="14" t="s">
        <v>483</v>
      </c>
    </row>
    <row r="26" spans="1:4" x14ac:dyDescent="0.2">
      <c r="A26" s="2" t="s">
        <v>956</v>
      </c>
      <c r="B26" s="4" t="s">
        <v>943</v>
      </c>
      <c r="C26" s="4"/>
      <c r="D26" s="14" t="s">
        <v>484</v>
      </c>
    </row>
    <row r="27" spans="1:4" x14ac:dyDescent="0.2">
      <c r="A27" s="2" t="s">
        <v>627</v>
      </c>
      <c r="B27" s="4" t="s">
        <v>673</v>
      </c>
      <c r="C27" s="4"/>
      <c r="D27" s="14" t="s">
        <v>628</v>
      </c>
    </row>
    <row r="28" spans="1:4" x14ac:dyDescent="0.2">
      <c r="A28" s="2" t="s">
        <v>547</v>
      </c>
      <c r="B28" s="4" t="s">
        <v>433</v>
      </c>
      <c r="C28" s="4"/>
      <c r="D28" s="14" t="s">
        <v>548</v>
      </c>
    </row>
    <row r="29" spans="1:4" x14ac:dyDescent="0.2">
      <c r="A29" s="2" t="s">
        <v>658</v>
      </c>
      <c r="B29" s="4" t="s">
        <v>659</v>
      </c>
      <c r="C29" s="4"/>
      <c r="D29" s="14" t="s">
        <v>660</v>
      </c>
    </row>
    <row r="30" spans="1:4" x14ac:dyDescent="0.2">
      <c r="A30" s="2" t="s">
        <v>661</v>
      </c>
      <c r="B30" s="4" t="s">
        <v>571</v>
      </c>
      <c r="C30" s="4"/>
      <c r="D30" s="14"/>
    </row>
    <row r="31" spans="1:4" x14ac:dyDescent="0.2">
      <c r="A31" s="2" t="s">
        <v>645</v>
      </c>
      <c r="B31" s="4" t="s">
        <v>646</v>
      </c>
      <c r="C31" s="4"/>
      <c r="D31" s="14"/>
    </row>
    <row r="32" spans="1:4" x14ac:dyDescent="0.2">
      <c r="A32" s="2" t="s">
        <v>563</v>
      </c>
      <c r="B32" s="4" t="s">
        <v>893</v>
      </c>
      <c r="C32" s="4"/>
      <c r="D32" s="14" t="s">
        <v>564</v>
      </c>
    </row>
    <row r="33" spans="1:4" x14ac:dyDescent="0.2">
      <c r="A33" s="2" t="s">
        <v>762</v>
      </c>
      <c r="B33" s="4" t="s">
        <v>768</v>
      </c>
      <c r="C33" s="4"/>
      <c r="D33" s="14"/>
    </row>
    <row r="34" spans="1:4" x14ac:dyDescent="0.2">
      <c r="A34" s="2" t="s">
        <v>763</v>
      </c>
      <c r="B34" s="4" t="s">
        <v>769</v>
      </c>
      <c r="C34" s="4"/>
      <c r="D34" s="14"/>
    </row>
    <row r="35" spans="1:4" x14ac:dyDescent="0.2">
      <c r="A35" s="2" t="s">
        <v>764</v>
      </c>
      <c r="B35" s="4" t="s">
        <v>523</v>
      </c>
      <c r="C35" s="4"/>
      <c r="D35" s="14"/>
    </row>
    <row r="36" spans="1:4" x14ac:dyDescent="0.2">
      <c r="A36" s="2" t="s">
        <v>765</v>
      </c>
      <c r="B36" s="4" t="s">
        <v>612</v>
      </c>
      <c r="C36" s="4"/>
      <c r="D36" s="14"/>
    </row>
    <row r="37" spans="1:4" x14ac:dyDescent="0.2">
      <c r="A37" s="2" t="s">
        <v>766</v>
      </c>
      <c r="B37" s="4" t="s">
        <v>613</v>
      </c>
      <c r="C37" s="4"/>
      <c r="D37" s="14"/>
    </row>
    <row r="38" spans="1:4" x14ac:dyDescent="0.2">
      <c r="A38" s="2" t="s">
        <v>767</v>
      </c>
      <c r="B38" s="4" t="s">
        <v>521</v>
      </c>
      <c r="C38" s="4"/>
      <c r="D38" s="14"/>
    </row>
    <row r="39" spans="1:4" x14ac:dyDescent="0.2">
      <c r="A39" s="2" t="s">
        <v>522</v>
      </c>
      <c r="B39" s="4" t="s">
        <v>582</v>
      </c>
      <c r="C39" s="4"/>
      <c r="D39" s="14"/>
    </row>
    <row r="40" spans="1:4" x14ac:dyDescent="0.2">
      <c r="A40" s="2" t="s">
        <v>740</v>
      </c>
      <c r="B40" s="4" t="s">
        <v>674</v>
      </c>
      <c r="C40" s="4"/>
      <c r="D40" s="14"/>
    </row>
    <row r="41" spans="1:4" x14ac:dyDescent="0.2">
      <c r="A41" s="2" t="s">
        <v>741</v>
      </c>
      <c r="B41" s="4" t="s">
        <v>675</v>
      </c>
      <c r="C41" s="4"/>
      <c r="D41" s="14"/>
    </row>
    <row r="42" spans="1:4" x14ac:dyDescent="0.2">
      <c r="A42" s="2" t="s">
        <v>742</v>
      </c>
      <c r="B42" s="4" t="s">
        <v>747</v>
      </c>
      <c r="C42" s="4"/>
      <c r="D42" s="14"/>
    </row>
    <row r="43" spans="1:4" x14ac:dyDescent="0.2">
      <c r="A43" s="2" t="s">
        <v>746</v>
      </c>
      <c r="B43" s="4" t="s">
        <v>715</v>
      </c>
      <c r="C43" s="4"/>
      <c r="D43" s="14"/>
    </row>
    <row r="44" spans="1:4" x14ac:dyDescent="0.2">
      <c r="A44" s="2" t="s">
        <v>507</v>
      </c>
      <c r="B44" s="7" t="s">
        <v>716</v>
      </c>
      <c r="C44" s="4"/>
      <c r="D44" s="14"/>
    </row>
    <row r="45" spans="1:4" x14ac:dyDescent="0.2">
      <c r="A45" s="2" t="s">
        <v>508</v>
      </c>
      <c r="B45" s="7" t="s">
        <v>784</v>
      </c>
      <c r="C45" s="4"/>
      <c r="D45" s="14"/>
    </row>
    <row r="46" spans="1:4" x14ac:dyDescent="0.2">
      <c r="A46" s="2" t="s">
        <v>509</v>
      </c>
      <c r="B46" s="7" t="s">
        <v>479</v>
      </c>
      <c r="C46" s="4"/>
      <c r="D46" s="14"/>
    </row>
    <row r="47" spans="1:4" x14ac:dyDescent="0.2">
      <c r="A47" s="2" t="s">
        <v>783</v>
      </c>
      <c r="B47" s="7" t="str">
        <f>Head3&amp;" Summary"</f>
        <v>2020/21 Medium Term Revenue &amp; Expenditure Framework Summary</v>
      </c>
      <c r="C47" s="4"/>
      <c r="D47" s="14"/>
    </row>
    <row r="48" spans="1:4" x14ac:dyDescent="0.2">
      <c r="A48" s="2" t="s">
        <v>614</v>
      </c>
      <c r="B48" s="7" t="s">
        <v>617</v>
      </c>
      <c r="C48" s="4"/>
      <c r="D48" s="14"/>
    </row>
    <row r="49" spans="1:4" x14ac:dyDescent="0.2">
      <c r="A49" s="2" t="s">
        <v>615</v>
      </c>
      <c r="B49" s="7" t="s">
        <v>616</v>
      </c>
      <c r="C49" s="4"/>
      <c r="D49" s="14"/>
    </row>
    <row r="50" spans="1:4" x14ac:dyDescent="0.2">
      <c r="A50" s="2" t="s">
        <v>926</v>
      </c>
      <c r="B50" s="16" t="s">
        <v>465</v>
      </c>
      <c r="C50" s="17"/>
      <c r="D50" s="14"/>
    </row>
    <row r="51" spans="1:4" x14ac:dyDescent="0.2">
      <c r="A51" s="2" t="s">
        <v>644</v>
      </c>
      <c r="B51" s="7" t="s">
        <v>630</v>
      </c>
      <c r="C51" s="4"/>
      <c r="D51" s="14"/>
    </row>
    <row r="52" spans="1:4" x14ac:dyDescent="0.2">
      <c r="A52" s="2" t="s">
        <v>573</v>
      </c>
      <c r="B52" s="7" t="s">
        <v>435</v>
      </c>
      <c r="C52" s="4"/>
      <c r="D52" s="14"/>
    </row>
    <row r="53" spans="1:4" x14ac:dyDescent="0.2">
      <c r="A53" s="2" t="s">
        <v>637</v>
      </c>
      <c r="B53" s="7" t="s">
        <v>639</v>
      </c>
      <c r="C53" s="4"/>
      <c r="D53" s="14"/>
    </row>
    <row r="54" spans="1:4" x14ac:dyDescent="0.2">
      <c r="A54" s="2" t="s">
        <v>638</v>
      </c>
      <c r="B54" s="7" t="s">
        <v>826</v>
      </c>
      <c r="C54" s="4"/>
      <c r="D54" s="14"/>
    </row>
    <row r="55" spans="1:4" x14ac:dyDescent="0.2">
      <c r="A55" s="2" t="s">
        <v>821</v>
      </c>
      <c r="B55" s="7" t="s">
        <v>825</v>
      </c>
      <c r="C55" s="4"/>
      <c r="D55" s="14"/>
    </row>
    <row r="56" spans="1:4" x14ac:dyDescent="0.2">
      <c r="A56" s="2" t="s">
        <v>822</v>
      </c>
      <c r="B56" s="7" t="s">
        <v>464</v>
      </c>
      <c r="C56" s="4"/>
      <c r="D56" s="14"/>
    </row>
    <row r="57" spans="1:4" x14ac:dyDescent="0.2">
      <c r="A57" s="2" t="s">
        <v>823</v>
      </c>
      <c r="B57" s="7" t="s">
        <v>827</v>
      </c>
      <c r="C57" s="4"/>
      <c r="D57" s="14"/>
    </row>
    <row r="58" spans="1:4" x14ac:dyDescent="0.2">
      <c r="A58" s="2" t="s">
        <v>824</v>
      </c>
      <c r="B58" s="7" t="s">
        <v>961</v>
      </c>
      <c r="C58" s="4"/>
      <c r="D58" s="14"/>
    </row>
    <row r="59" spans="1:4" x14ac:dyDescent="0.2">
      <c r="A59" s="2" t="s">
        <v>665</v>
      </c>
      <c r="B59" s="7" t="s">
        <v>463</v>
      </c>
      <c r="C59" s="4"/>
      <c r="D59" s="14"/>
    </row>
    <row r="60" spans="1:4" x14ac:dyDescent="0.2">
      <c r="A60" s="2" t="s">
        <v>790</v>
      </c>
      <c r="B60" s="7" t="s">
        <v>791</v>
      </c>
      <c r="C60" s="4"/>
      <c r="D60" s="14"/>
    </row>
    <row r="61" spans="1:4" x14ac:dyDescent="0.2">
      <c r="A61" s="2" t="s">
        <v>713</v>
      </c>
      <c r="B61" s="590" t="str">
        <f>date</f>
        <v>Mid-Year Assessment</v>
      </c>
      <c r="C61" s="4"/>
      <c r="D61" s="14"/>
    </row>
    <row r="62" spans="1:4" x14ac:dyDescent="0.2">
      <c r="A62" s="2" t="s">
        <v>966</v>
      </c>
      <c r="B62" s="7" t="s">
        <v>967</v>
      </c>
      <c r="C62" s="4"/>
      <c r="D62" s="14"/>
    </row>
    <row r="63" spans="1:4" x14ac:dyDescent="0.2">
      <c r="A63" s="2" t="s">
        <v>968</v>
      </c>
      <c r="B63" s="7" t="s">
        <v>629</v>
      </c>
      <c r="C63" s="4"/>
      <c r="D63" s="14"/>
    </row>
    <row r="64" spans="1:4" x14ac:dyDescent="0.2">
      <c r="A64" s="2" t="s">
        <v>12</v>
      </c>
      <c r="B64" s="7" t="s">
        <v>887</v>
      </c>
      <c r="C64" s="9" t="s">
        <v>49</v>
      </c>
      <c r="D64" s="729" t="e">
        <f>MONTH(date)</f>
        <v>#VALUE!</v>
      </c>
    </row>
    <row r="65" spans="1:6" x14ac:dyDescent="0.2">
      <c r="A65" s="2" t="s">
        <v>849</v>
      </c>
      <c r="B65" s="7" t="s">
        <v>847</v>
      </c>
      <c r="C65" s="4"/>
      <c r="D65" s="14"/>
    </row>
    <row r="66" spans="1:6" x14ac:dyDescent="0.2">
      <c r="A66" s="2" t="s">
        <v>850</v>
      </c>
      <c r="B66" s="7" t="s">
        <v>848</v>
      </c>
      <c r="C66" s="4"/>
      <c r="D66" s="14"/>
    </row>
    <row r="67" spans="1:6" x14ac:dyDescent="0.2">
      <c r="A67" s="2" t="s">
        <v>851</v>
      </c>
      <c r="B67" s="7" t="s">
        <v>853</v>
      </c>
      <c r="C67" s="4"/>
      <c r="D67" s="14"/>
    </row>
    <row r="68" spans="1:6" x14ac:dyDescent="0.2">
      <c r="A68" s="2" t="s">
        <v>852</v>
      </c>
      <c r="B68" s="7" t="s">
        <v>654</v>
      </c>
      <c r="C68" s="4"/>
      <c r="D68" s="14"/>
    </row>
    <row r="69" spans="1:6" x14ac:dyDescent="0.2">
      <c r="A69" s="2" t="s">
        <v>655</v>
      </c>
      <c r="B69" s="7" t="s">
        <v>692</v>
      </c>
      <c r="C69" s="4"/>
      <c r="D69" s="14"/>
    </row>
    <row r="70" spans="1:6" x14ac:dyDescent="0.2">
      <c r="A70" s="2" t="s">
        <v>656</v>
      </c>
      <c r="B70" s="7" t="s">
        <v>693</v>
      </c>
      <c r="C70" s="4"/>
      <c r="D70" s="14"/>
    </row>
    <row r="71" spans="1:6" x14ac:dyDescent="0.2">
      <c r="A71" s="2" t="s">
        <v>695</v>
      </c>
      <c r="B71" s="7" t="s">
        <v>694</v>
      </c>
      <c r="C71" s="4"/>
      <c r="D71" s="14"/>
    </row>
    <row r="72" spans="1:6" x14ac:dyDescent="0.2">
      <c r="A72" s="1008" t="s">
        <v>751</v>
      </c>
      <c r="B72" s="1009"/>
      <c r="C72" s="1009"/>
      <c r="D72" s="1010"/>
    </row>
    <row r="73" spans="1:6" x14ac:dyDescent="0.2">
      <c r="A73" s="730" t="s">
        <v>657</v>
      </c>
      <c r="B73" s="731" t="str">
        <f>'Lookup and lists'!B27</f>
        <v>KZN225 Msunduzi</v>
      </c>
      <c r="C73" s="731"/>
      <c r="D73" s="6"/>
    </row>
    <row r="74" spans="1:6" x14ac:dyDescent="0.2">
      <c r="A74" s="730" t="s">
        <v>82</v>
      </c>
      <c r="B74" s="732">
        <v>1</v>
      </c>
      <c r="C74" s="731" t="s">
        <v>152</v>
      </c>
      <c r="D74" s="6">
        <v>2</v>
      </c>
    </row>
    <row r="75" spans="1:6" x14ac:dyDescent="0.2">
      <c r="A75" s="647" t="str">
        <f>IF((MuniEntities=1)*(MuniType=2),"YES","NO")</f>
        <v>YES</v>
      </c>
      <c r="B75" s="372" t="s">
        <v>624</v>
      </c>
      <c r="C75" s="589"/>
      <c r="D75" s="6"/>
    </row>
    <row r="76" spans="1:6" x14ac:dyDescent="0.2">
      <c r="A76" s="1006" t="s">
        <v>794</v>
      </c>
      <c r="B76" s="1007"/>
      <c r="C76" s="369"/>
      <c r="D76" s="18"/>
    </row>
    <row r="77" spans="1:6" x14ac:dyDescent="0.2">
      <c r="A77" s="11" t="s">
        <v>636</v>
      </c>
      <c r="B77" s="412" t="str">
        <f t="shared" ref="B77:B83" si="0">IF(Consolques="YES",E77,F77)</f>
        <v>Table C1 Consolidated Monthly Budget Statement Summary</v>
      </c>
      <c r="C77" s="8"/>
      <c r="D77" s="14" t="s">
        <v>85</v>
      </c>
      <c r="E77" s="1" t="str">
        <f>D77&amp;"Consolidated Monthly Budget Statement Summary"</f>
        <v>Table C1 Consolidated Monthly Budget Statement Summary</v>
      </c>
      <c r="F77" s="1" t="str">
        <f>D77&amp;"Monthly Budget Statement Summary"</f>
        <v>Table C1 Monthly Budget Statement Summary</v>
      </c>
    </row>
    <row r="78" spans="1:6" x14ac:dyDescent="0.2">
      <c r="A78" s="12" t="s">
        <v>576</v>
      </c>
      <c r="B78" s="4" t="str">
        <f t="shared" si="0"/>
        <v xml:space="preserve">Table C3 Consolidated Monthly Budget Statement - Financial Performance (revenue and expenditure by municipal vote) </v>
      </c>
      <c r="C78" s="4"/>
      <c r="D78" s="14" t="s">
        <v>87</v>
      </c>
      <c r="E78" s="1" t="str">
        <f>D78&amp;"Consolidated Monthly Budget Statement - Financial Performance (revenue and expenditure by municipal vote) "</f>
        <v xml:space="preserve">Table C3 Consolidated Monthly Budget Statement - Financial Performance (revenue and expenditure by municipal vote) </v>
      </c>
      <c r="F78" s="1" t="str">
        <f>D78&amp;"Monthly Budget Statement - Financial Performance (revenue and expenditure by municipal vote)"</f>
        <v>Table C3 Monthly Budget Statement - Financial Performance (revenue and expenditure by municipal vote)</v>
      </c>
    </row>
    <row r="79" spans="1:6" x14ac:dyDescent="0.2">
      <c r="A79" s="12" t="s">
        <v>676</v>
      </c>
      <c r="B79" s="4" t="str">
        <f>IF(Consolques="YES",E79,F79)</f>
        <v xml:space="preserve">Table C2 Consolidated Monthly Budget Statement - Financial Performance (functional classification) </v>
      </c>
      <c r="C79" s="4"/>
      <c r="D79" s="14" t="s">
        <v>86</v>
      </c>
      <c r="E79" s="1" t="str">
        <f>D79&amp;"Consolidated Monthly Budget Statement - Financial Performance (functional classification) "</f>
        <v xml:space="preserve">Table C2 Consolidated Monthly Budget Statement - Financial Performance (functional classification) </v>
      </c>
      <c r="F79" s="1" t="str">
        <f>D79&amp;"Monthly Budget Statement - Financial Performance (functional classification)"</f>
        <v>Table C2 Monthly Budget Statement - Financial Performance (functional classification)</v>
      </c>
    </row>
    <row r="80" spans="1:6" x14ac:dyDescent="0.2">
      <c r="A80" s="12" t="s">
        <v>677</v>
      </c>
      <c r="B80" s="4" t="str">
        <f>IF(Consolques="YES",E80,F80)</f>
        <v xml:space="preserve">Table C4 Consolidated Monthly Budget Statement - Financial Performance (revenue and expenditure) </v>
      </c>
      <c r="C80" s="4"/>
      <c r="D80" s="14" t="s">
        <v>88</v>
      </c>
      <c r="E80" s="1" t="str">
        <f>D80&amp;"Consolidated Monthly Budget Statement - Financial Performance (revenue and expenditure) "</f>
        <v xml:space="preserve">Table C4 Consolidated Monthly Budget Statement - Financial Performance (revenue and expenditure) </v>
      </c>
      <c r="F80" s="1" t="str">
        <f>D80&amp;"Monthly Budget Statement - Financial Performance (revenue and expenditure)"</f>
        <v>Table C4 Monthly Budget Statement - Financial Performance (revenue and expenditure)</v>
      </c>
    </row>
    <row r="81" spans="1:6" x14ac:dyDescent="0.2">
      <c r="A81" s="12" t="s">
        <v>577</v>
      </c>
      <c r="B81" s="4" t="str">
        <f>IF(Consolques="YES",E81,F81)</f>
        <v xml:space="preserve">Table C5 Consolidated Monthly Budget Statement - Capital Expenditure (municipal vote, functional classification and funding </v>
      </c>
      <c r="C81" s="4"/>
      <c r="D81" s="14" t="s">
        <v>89</v>
      </c>
      <c r="E81" s="1" t="str">
        <f>D81&amp;"Consolidated Monthly Budget Statement - Capital Expenditure (municipal vote, functional classification and funding "</f>
        <v xml:space="preserve">Table C5 Consolidated Monthly Budget Statement - Capital Expenditure (municipal vote, functional classification and funding </v>
      </c>
      <c r="F81" s="1" t="str">
        <f>D81&amp;"Monthly Budget Statement - Capital Expenditure (municipal vote, functional classification and funding)"</f>
        <v>Table C5 Monthly Budget Statement - Capital Expenditure (municipal vote, functional classification and funding)</v>
      </c>
    </row>
    <row r="82" spans="1:6" x14ac:dyDescent="0.2">
      <c r="A82" s="12" t="s">
        <v>678</v>
      </c>
      <c r="B82" s="4" t="str">
        <f t="shared" si="0"/>
        <v xml:space="preserve">Table C6 Consolidated Monthly Budget Statement - Financial Position </v>
      </c>
      <c r="C82" s="4"/>
      <c r="D82" s="14" t="s">
        <v>90</v>
      </c>
      <c r="E82" s="1" t="str">
        <f>D82&amp;"Consolidated Monthly Budget Statement - Financial Position "</f>
        <v xml:space="preserve">Table C6 Consolidated Monthly Budget Statement - Financial Position </v>
      </c>
      <c r="F82" s="1" t="str">
        <f>D82&amp;"Monthly Budget Statement - Financial Position"</f>
        <v>Table C6 Monthly Budget Statement - Financial Position</v>
      </c>
    </row>
    <row r="83" spans="1:6" x14ac:dyDescent="0.2">
      <c r="A83" s="12" t="s">
        <v>679</v>
      </c>
      <c r="B83" s="4" t="str">
        <f t="shared" si="0"/>
        <v xml:space="preserve">Table C7 Consolidated Monthly Budget Statement - Cash Flow </v>
      </c>
      <c r="C83" s="4"/>
      <c r="D83" s="14" t="s">
        <v>91</v>
      </c>
      <c r="E83" s="1" t="str">
        <f>D83&amp;"Consolidated Monthly Budget Statement - Cash Flow "</f>
        <v xml:space="preserve">Table C7 Consolidated Monthly Budget Statement - Cash Flow </v>
      </c>
      <c r="F83" s="1" t="str">
        <f>D83&amp;"Monthly Budget Statement - Cash Flow "</f>
        <v xml:space="preserve">Table C7 Monthly Budget Statement - Cash Flow </v>
      </c>
    </row>
    <row r="84" spans="1:6" x14ac:dyDescent="0.2">
      <c r="A84" s="12" t="s">
        <v>578</v>
      </c>
      <c r="B84" s="4" t="str">
        <f>D84&amp;"Material variance explanations "</f>
        <v xml:space="preserve">Supporting Table SC1 Material variance explanations </v>
      </c>
      <c r="C84" s="4"/>
      <c r="D84" s="14" t="s">
        <v>97</v>
      </c>
    </row>
    <row r="85" spans="1:6" x14ac:dyDescent="0.2">
      <c r="A85" s="12" t="s">
        <v>680</v>
      </c>
      <c r="B85" s="4" t="str">
        <f>D85&amp;"Monthly Budget Statement - performance indicators  "</f>
        <v xml:space="preserve">Supporting Table SC2 Monthly Budget Statement - performance indicators  </v>
      </c>
      <c r="C85" s="4"/>
      <c r="D85" s="14" t="s">
        <v>98</v>
      </c>
    </row>
    <row r="86" spans="1:6" x14ac:dyDescent="0.2">
      <c r="A86" s="12" t="s">
        <v>681</v>
      </c>
      <c r="B86" s="4" t="str">
        <f>D86&amp;"Monthly Budget Statement - aged debtors"</f>
        <v>Supporting Table SC3 Monthly Budget Statement - aged debtors</v>
      </c>
      <c r="C86" s="4"/>
      <c r="D86" s="14" t="s">
        <v>99</v>
      </c>
    </row>
    <row r="87" spans="1:6" x14ac:dyDescent="0.2">
      <c r="A87" s="12" t="s">
        <v>682</v>
      </c>
      <c r="B87" s="4" t="str">
        <f>D87&amp;"Monthly Budget Statement - aged creditors "</f>
        <v xml:space="preserve">Supporting Table SC4 Monthly Budget Statement - aged creditors </v>
      </c>
      <c r="C87" s="4"/>
      <c r="D87" s="14" t="s">
        <v>100</v>
      </c>
    </row>
    <row r="88" spans="1:6" x14ac:dyDescent="0.2">
      <c r="A88" s="12" t="s">
        <v>10</v>
      </c>
      <c r="B88" s="4" t="str">
        <f>D88&amp;"Monthly Budget Statement - investment portfolio "</f>
        <v xml:space="preserve">Supporting Table SC5 Monthly Budget Statement - investment portfolio </v>
      </c>
      <c r="C88" s="4"/>
      <c r="D88" s="14" t="s">
        <v>101</v>
      </c>
    </row>
    <row r="89" spans="1:6" x14ac:dyDescent="0.2">
      <c r="A89" s="12" t="s">
        <v>745</v>
      </c>
      <c r="B89" s="4" t="str">
        <f>D89&amp;"Monthly Budget Statement - transfers and grant receipts "</f>
        <v xml:space="preserve">Supporting Table SC6 Monthly Budget Statement - transfers and grant receipts </v>
      </c>
      <c r="C89" s="4"/>
      <c r="D89" s="14" t="s">
        <v>102</v>
      </c>
    </row>
    <row r="90" spans="1:6" x14ac:dyDescent="0.2">
      <c r="A90" s="12" t="s">
        <v>929</v>
      </c>
      <c r="B90" s="4" t="str">
        <f>D90&amp;" Monthly Budget Statement - transfers and grant expenditure "</f>
        <v xml:space="preserve">Supporting Table SC7(1) Monthly Budget Statement - transfers and grant expenditure </v>
      </c>
      <c r="C90" s="4"/>
      <c r="D90" s="14" t="s">
        <v>1093</v>
      </c>
    </row>
    <row r="91" spans="1:6" x14ac:dyDescent="0.2">
      <c r="A91" s="12" t="s">
        <v>930</v>
      </c>
      <c r="B91" s="4" t="str">
        <f>D91&amp;"Monthly Budget Statement - councillor and staff benefits "</f>
        <v xml:space="preserve">Supporting Table SC8 Monthly Budget Statement - councillor and staff benefits </v>
      </c>
      <c r="C91" s="4"/>
      <c r="D91" s="14" t="s">
        <v>103</v>
      </c>
    </row>
    <row r="92" spans="1:6" x14ac:dyDescent="0.2">
      <c r="A92" s="12" t="s">
        <v>773</v>
      </c>
      <c r="B92" s="4" t="str">
        <f>D92&amp;"Monthly Budget Statement - actuals and revised targets for cash receipts"</f>
        <v>Supporting Table SC9 Monthly Budget Statement - actuals and revised targets for cash receipts</v>
      </c>
      <c r="C92" s="4"/>
      <c r="D92" s="14" t="s">
        <v>104</v>
      </c>
    </row>
    <row r="93" spans="1:6" x14ac:dyDescent="0.2">
      <c r="A93" s="12" t="s">
        <v>774</v>
      </c>
      <c r="B93" s="4" t="str">
        <f t="shared" ref="B93:B99" si="1">IF(Consolques="YES",E93,F93)</f>
        <v xml:space="preserve">Supporting Table SC10 Monthly Budget Statement  - Parent Municipality Financial Performance (revenue and expenditure) </v>
      </c>
      <c r="C93" s="4"/>
      <c r="D93" s="14" t="s">
        <v>105</v>
      </c>
      <c r="E93" s="1" t="str">
        <f>D93&amp;"Monthly Budget Statement  - Parent Municipality Financial Performance (revenue and expenditure) "</f>
        <v xml:space="preserve">Supporting Table SC10 Monthly Budget Statement  - Parent Municipality Financial Performance (revenue and expenditure) </v>
      </c>
      <c r="F93" s="1" t="s">
        <v>796</v>
      </c>
    </row>
    <row r="94" spans="1:6" x14ac:dyDescent="0.2">
      <c r="A94" s="12" t="s">
        <v>775</v>
      </c>
      <c r="B94" s="4" t="str">
        <f t="shared" si="1"/>
        <v>Supporting Table SC11 Monthly Budget Statement - summary of municipal entities</v>
      </c>
      <c r="C94" s="4"/>
      <c r="D94" s="14" t="s">
        <v>106</v>
      </c>
      <c r="E94" s="1" t="str">
        <f>D94&amp;"Monthly Budget Statement - summary of municipal entities"</f>
        <v>Supporting Table SC11 Monthly Budget Statement - summary of municipal entities</v>
      </c>
      <c r="F94" s="1" t="s">
        <v>796</v>
      </c>
    </row>
    <row r="95" spans="1:6" x14ac:dyDescent="0.2">
      <c r="A95" s="12" t="s">
        <v>11</v>
      </c>
      <c r="B95" s="4" t="str">
        <f t="shared" si="1"/>
        <v xml:space="preserve">Supporting Table SC12 Consolidated Monthly Budget Statement - capital expenditure trend </v>
      </c>
      <c r="C95" s="4"/>
      <c r="D95" s="14" t="s">
        <v>107</v>
      </c>
      <c r="E95" s="1" t="str">
        <f>D95&amp;"Consolidated Monthly Budget Statement - capital expenditure trend "</f>
        <v xml:space="preserve">Supporting Table SC12 Consolidated Monthly Budget Statement - capital expenditure trend </v>
      </c>
      <c r="F95" s="1" t="str">
        <f>D95&amp;"Monthly Budget Statement - capital expenditure trend"</f>
        <v>Supporting Table SC12 Monthly Budget Statement - capital expenditure trend</v>
      </c>
    </row>
    <row r="96" spans="1:6" x14ac:dyDescent="0.2">
      <c r="A96" s="12" t="s">
        <v>156</v>
      </c>
      <c r="B96" s="4" t="str">
        <f t="shared" si="1"/>
        <v>Supporting Table SC13a Consolidated Monthly Budget Statement - capital expenditure on new assets by asset class</v>
      </c>
      <c r="C96" s="4"/>
      <c r="D96" s="14" t="s">
        <v>153</v>
      </c>
      <c r="E96" s="1" t="str">
        <f>D96&amp;"Consolidated Monthly Budget Statement - capital expenditure on new assets by asset class"</f>
        <v>Supporting Table SC13a Consolidated Monthly Budget Statement - capital expenditure on new assets by asset class</v>
      </c>
      <c r="F96" s="1" t="str">
        <f>D96&amp;"Monthly Budget Statement - capital expenditure on new assets by asset class"</f>
        <v>Supporting Table SC13a Monthly Budget Statement - capital expenditure on new assets by asset class</v>
      </c>
    </row>
    <row r="97" spans="1:6" x14ac:dyDescent="0.2">
      <c r="A97" s="12" t="s">
        <v>157</v>
      </c>
      <c r="B97" s="4" t="str">
        <f t="shared" si="1"/>
        <v>Supporting Table SC13b Consolidated Monthly Budget Statement - capital expenditure on renewal of existing assets by asset class</v>
      </c>
      <c r="C97" s="4"/>
      <c r="D97" s="14" t="s">
        <v>154</v>
      </c>
      <c r="E97" s="1" t="str">
        <f>D97&amp;"Consolidated Monthly Budget Statement - capital expenditure on renewal of existing assets by asset class"</f>
        <v>Supporting Table SC13b Consolidated Monthly Budget Statement - capital expenditure on renewal of existing assets by asset class</v>
      </c>
      <c r="F97" s="1" t="str">
        <f>D97&amp;"Monthly Budget Statement - capital expenditure on renewal of existing assets by asset class"</f>
        <v>Supporting Table SC13b Monthly Budget Statement - capital expenditure on renewal of existing assets by asset class</v>
      </c>
    </row>
    <row r="98" spans="1:6" x14ac:dyDescent="0.2">
      <c r="A98" s="12" t="s">
        <v>158</v>
      </c>
      <c r="B98" s="4" t="str">
        <f t="shared" si="1"/>
        <v>Supporting Table SC13c Consolidated Monthly Budget Statement - expenditure on repairs and maintenance by asset class</v>
      </c>
      <c r="C98" s="4"/>
      <c r="D98" s="14" t="s">
        <v>155</v>
      </c>
      <c r="E98" s="1" t="str">
        <f>D98&amp;"Consolidated Monthly Budget Statement - expenditure on repairs and maintenance by asset class"</f>
        <v>Supporting Table SC13c Consolidated Monthly Budget Statement - expenditure on repairs and maintenance by asset class</v>
      </c>
      <c r="F98" s="1" t="str">
        <f>D98&amp;"Monthly Budget Statement - expenditure on repairs and maintenance by asset class"</f>
        <v>Supporting Table SC13c Monthly Budget Statement - expenditure on repairs and maintenance by asset class</v>
      </c>
    </row>
    <row r="99" spans="1:6" x14ac:dyDescent="0.2">
      <c r="A99" s="12" t="s">
        <v>1046</v>
      </c>
      <c r="B99" s="4" t="str">
        <f t="shared" si="1"/>
        <v>Supporting Table SC13d Consolidated Monthly Budget Statement - depreciation by asset class</v>
      </c>
      <c r="C99" s="4"/>
      <c r="D99" s="14" t="s">
        <v>1047</v>
      </c>
      <c r="E99" s="1" t="str">
        <f>D99&amp;"Consolidated Monthly Budget Statement - depreciation by asset class"</f>
        <v>Supporting Table SC13d Consolidated Monthly Budget Statement - depreciation by asset class</v>
      </c>
      <c r="F99" s="1" t="str">
        <f>D99&amp;"Monthly Budget Statement - depreciation by asset class"</f>
        <v>Supporting Table SC13d Monthly Budget Statement - depreciation by asset class</v>
      </c>
    </row>
    <row r="100" spans="1:6" x14ac:dyDescent="0.2">
      <c r="A100" s="12" t="s">
        <v>1331</v>
      </c>
      <c r="B100" s="4" t="str">
        <f>IF(Consolques="YES",E100,F100)</f>
        <v>Supporting Table SC13e Consolidated Monthly Budget Statement - capital expenditure on upgrading of existing assets by asset class</v>
      </c>
      <c r="C100" s="4"/>
      <c r="D100" s="14" t="s">
        <v>1332</v>
      </c>
      <c r="E100" s="1" t="str">
        <f>D100&amp;"Consolidated Monthly Budget Statement - capital expenditure on upgrading of existing assets by asset class"</f>
        <v>Supporting Table SC13e Consolidated Monthly Budget Statement - capital expenditure on upgrading of existing assets by asset class</v>
      </c>
      <c r="F100" s="1" t="str">
        <f>D100&amp;"Monthly Budget Statement - capital expenditure on upgrading of existing assets by asset class"</f>
        <v>Supporting Table SC13e Monthly Budget Statement - capital expenditure on upgrading of existing assets by asset class</v>
      </c>
    </row>
    <row r="101" spans="1:6" x14ac:dyDescent="0.2">
      <c r="A101" s="12"/>
      <c r="B101" s="5" t="s">
        <v>683</v>
      </c>
      <c r="C101" s="5"/>
      <c r="D101" s="14"/>
    </row>
    <row r="102" spans="1:6" x14ac:dyDescent="0.2">
      <c r="A102" s="12"/>
      <c r="B102" s="4" t="str">
        <f>D102&amp;Head2A&amp;" Capital Expenditure Monthly Trend: actual v target"</f>
        <v>Chart C1 2020/21 Capital Expenditure Monthly Trend: actual v target</v>
      </c>
      <c r="C102" s="4"/>
      <c r="D102" s="14" t="s">
        <v>92</v>
      </c>
    </row>
    <row r="103" spans="1:6" x14ac:dyDescent="0.2">
      <c r="A103" s="12"/>
      <c r="B103" s="4" t="str">
        <f>D103&amp;Head2A&amp;" Capital Expenditure: YTD actual v YTD target"</f>
        <v>Chart C2 2020/21 Capital Expenditure: YTD actual v YTD target</v>
      </c>
      <c r="C103" s="4"/>
      <c r="D103" s="14" t="s">
        <v>93</v>
      </c>
    </row>
    <row r="104" spans="1:6" x14ac:dyDescent="0.2">
      <c r="A104" s="12"/>
      <c r="B104" s="4" t="str">
        <f>D104&amp;"Aged Consumer Debtors Analysis"</f>
        <v>Chart C3 Aged Consumer Debtors Analysis</v>
      </c>
      <c r="C104" s="4"/>
      <c r="D104" s="14" t="s">
        <v>94</v>
      </c>
    </row>
    <row r="105" spans="1:6" x14ac:dyDescent="0.2">
      <c r="A105" s="12"/>
      <c r="B105" s="4" t="str">
        <f>D105&amp;"Consumer Debtors (total by Debtor Customer Category)"</f>
        <v>Chart C4 Consumer Debtors (total by Debtor Customer Category)</v>
      </c>
      <c r="C105" s="4"/>
      <c r="D105" s="14" t="s">
        <v>95</v>
      </c>
    </row>
    <row r="106" spans="1:6" x14ac:dyDescent="0.2">
      <c r="A106" s="13"/>
      <c r="B106" s="10" t="str">
        <f>D106&amp;"Aged Creditors Analysis"</f>
        <v>Chart C5 Aged Creditors Analysis</v>
      </c>
      <c r="C106" s="10"/>
      <c r="D106" s="15" t="s">
        <v>96</v>
      </c>
    </row>
    <row r="107" spans="1:6" x14ac:dyDescent="0.2">
      <c r="A107" s="12" t="s">
        <v>1092</v>
      </c>
      <c r="B107" s="4" t="str">
        <f>D107&amp;" Monthly Budget Statement - Expenditure against approved rollovers"</f>
        <v>Supporting Table SC7(2) Monthly Budget Statement - Expenditure against approved rollovers</v>
      </c>
      <c r="C107" s="4"/>
      <c r="D107" s="14" t="s">
        <v>1094</v>
      </c>
    </row>
    <row r="108" spans="1:6" x14ac:dyDescent="0.2">
      <c r="A108" s="1"/>
    </row>
    <row r="109" spans="1:6" x14ac:dyDescent="0.2">
      <c r="A109" s="1"/>
    </row>
    <row r="110" spans="1:6" x14ac:dyDescent="0.2">
      <c r="D110" s="3"/>
      <c r="E110" s="4"/>
    </row>
  </sheetData>
  <sheetProtection formatCells="0" selectLockedCells="1"/>
  <mergeCells count="3">
    <mergeCell ref="A1:D1"/>
    <mergeCell ref="A76:B76"/>
    <mergeCell ref="A72:D72"/>
  </mergeCells>
  <phoneticPr fontId="2" type="noConversion"/>
  <printOptions horizontalCentered="1" verticalCentered="1"/>
  <pageMargins left="0.39370078740157483" right="0.15748031496062992" top="0.51181102362204722" bottom="0.55118110236220474" header="0.51181102362204722" footer="0.39370078740157483"/>
  <pageSetup paperSize="9" scale="2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8" r:id="rId4" name="Button 12">
              <controlPr defaultSize="0" print="0" autoFill="0" autoPict="0" macro="[0]!SaveForUsers">
                <anchor moveWithCells="1" sizeWithCells="1">
                  <from>
                    <xdr:col>4</xdr:col>
                    <xdr:colOff>161925</xdr:colOff>
                    <xdr:row>2</xdr:row>
                    <xdr:rowOff>114300</xdr:rowOff>
                  </from>
                  <to>
                    <xdr:col>4</xdr:col>
                    <xdr:colOff>1866900</xdr:colOff>
                    <xdr:row>4</xdr:row>
                    <xdr:rowOff>114300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indexed="42"/>
    <pageSetUpPr fitToPage="1"/>
  </sheetPr>
  <dimension ref="A1:L206"/>
  <sheetViews>
    <sheetView showGridLines="0" zoomScaleNormal="100" workbookViewId="0">
      <pane xSplit="2" ySplit="4" topLeftCell="C137" activePane="bottomRight" state="frozen"/>
      <selection pane="topRight"/>
      <selection pane="bottomLeft"/>
      <selection pane="bottomRight" activeCell="F173" sqref="F173"/>
    </sheetView>
  </sheetViews>
  <sheetFormatPr defaultColWidth="9.140625" defaultRowHeight="12.75" x14ac:dyDescent="0.25"/>
  <cols>
    <col min="1" max="1" width="34.140625"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57" t="str">
        <f>muni&amp; " - "&amp;S71Sa&amp; " - "&amp;Head57</f>
        <v>KZN225 Msunduzi - Supporting Table SC13a Consolidated Monthly Budget Statement - capital expenditure on new assets by asset class - Mid-Year Assessment</v>
      </c>
      <c r="B1" s="1057"/>
      <c r="C1" s="1057"/>
      <c r="D1" s="1057"/>
      <c r="E1" s="1057"/>
      <c r="F1" s="1057"/>
      <c r="G1" s="1057"/>
      <c r="H1" s="1057"/>
      <c r="I1" s="1057"/>
      <c r="J1" s="1057"/>
      <c r="K1" s="1057"/>
    </row>
    <row r="2" spans="1:11" x14ac:dyDescent="0.25">
      <c r="A2" s="1042" t="str">
        <f>desc</f>
        <v>Description</v>
      </c>
      <c r="B2" s="1035" t="str">
        <f>head27</f>
        <v>Ref</v>
      </c>
      <c r="C2" s="139" t="str">
        <f>Head1</f>
        <v>2019/20</v>
      </c>
      <c r="D2" s="245" t="str">
        <f>Head2</f>
        <v>Budget Year 2020/21</v>
      </c>
      <c r="E2" s="229"/>
      <c r="F2" s="229"/>
      <c r="G2" s="229"/>
      <c r="H2" s="229"/>
      <c r="I2" s="229"/>
      <c r="J2" s="229"/>
      <c r="K2" s="230"/>
    </row>
    <row r="3" spans="1:11" ht="25.5" x14ac:dyDescent="0.25">
      <c r="A3" s="1043"/>
      <c r="B3" s="1046"/>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879</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193018084.31836799</v>
      </c>
      <c r="E7" s="102">
        <f t="shared" si="0"/>
        <v>200298084.31836799</v>
      </c>
      <c r="F7" s="102">
        <f t="shared" si="0"/>
        <v>0</v>
      </c>
      <c r="G7" s="102">
        <f t="shared" si="0"/>
        <v>13077809.18</v>
      </c>
      <c r="H7" s="102">
        <f t="shared" si="0"/>
        <v>100149042.15918399</v>
      </c>
      <c r="I7" s="101">
        <f t="shared" ref="I7:I37" si="1">H7-G7</f>
        <v>87071232.979184002</v>
      </c>
      <c r="J7" s="579">
        <f t="shared" ref="J7:J37" si="2">IF(I7=0,"",I7/H7)</f>
        <v>0.86941653261932161</v>
      </c>
      <c r="K7" s="603">
        <f>K8+K13+K17+K27+K38+K45+K53+K63+K69</f>
        <v>200298084.31836799</v>
      </c>
    </row>
    <row r="8" spans="1:11" ht="12.75" customHeight="1" x14ac:dyDescent="0.25">
      <c r="A8" s="518" t="s">
        <v>1216</v>
      </c>
      <c r="B8" s="169"/>
      <c r="C8" s="677">
        <f t="shared" ref="C8:H8" si="3">SUM(C9:C12)</f>
        <v>0</v>
      </c>
      <c r="D8" s="609">
        <f t="shared" si="3"/>
        <v>10845780.900911285</v>
      </c>
      <c r="E8" s="608">
        <f t="shared" si="3"/>
        <v>10845780.900911285</v>
      </c>
      <c r="F8" s="608">
        <f t="shared" si="3"/>
        <v>0</v>
      </c>
      <c r="G8" s="608">
        <f t="shared" si="3"/>
        <v>0</v>
      </c>
      <c r="H8" s="608">
        <f t="shared" si="3"/>
        <v>5422890.4504556423</v>
      </c>
      <c r="I8" s="258">
        <f t="shared" si="1"/>
        <v>5422890.4504556423</v>
      </c>
      <c r="J8" s="575">
        <f t="shared" si="2"/>
        <v>1</v>
      </c>
      <c r="K8" s="610">
        <f>SUM(K9:K12)</f>
        <v>10845780.900911285</v>
      </c>
    </row>
    <row r="9" spans="1:11" ht="12.75" customHeight="1" x14ac:dyDescent="0.25">
      <c r="A9" s="574" t="s">
        <v>168</v>
      </c>
      <c r="B9" s="169"/>
      <c r="C9" s="748"/>
      <c r="D9" s="745">
        <v>10845780.900911285</v>
      </c>
      <c r="E9" s="733">
        <v>10845780.900911285</v>
      </c>
      <c r="F9" s="733"/>
      <c r="G9" s="733"/>
      <c r="H9" s="733">
        <f>E9/12*6</f>
        <v>5422890.4504556423</v>
      </c>
      <c r="I9" s="258">
        <f t="shared" si="1"/>
        <v>5422890.4504556423</v>
      </c>
      <c r="J9" s="575">
        <f t="shared" si="2"/>
        <v>1</v>
      </c>
      <c r="K9" s="735">
        <f>E9</f>
        <v>10845780.900911285</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133651704.65022203</v>
      </c>
      <c r="E17" s="408">
        <f t="shared" si="5"/>
        <v>140931704.65022203</v>
      </c>
      <c r="F17" s="408">
        <f t="shared" si="5"/>
        <v>0</v>
      </c>
      <c r="G17" s="408">
        <f t="shared" si="5"/>
        <v>0</v>
      </c>
      <c r="H17" s="408">
        <f t="shared" si="5"/>
        <v>70465852.325111017</v>
      </c>
      <c r="I17" s="258">
        <f t="shared" si="1"/>
        <v>70465852.325111017</v>
      </c>
      <c r="J17" s="575">
        <f t="shared" si="2"/>
        <v>1</v>
      </c>
      <c r="K17" s="642">
        <f>SUM(K18:K26)</f>
        <v>140931704.65022203</v>
      </c>
    </row>
    <row r="18" spans="1:11" ht="12.75" customHeight="1" x14ac:dyDescent="0.25">
      <c r="A18" s="574" t="s">
        <v>1225</v>
      </c>
      <c r="B18" s="169"/>
      <c r="C18" s="748"/>
      <c r="D18" s="745">
        <v>133651704.65022203</v>
      </c>
      <c r="E18" s="733">
        <v>140931704.65022203</v>
      </c>
      <c r="F18" s="733"/>
      <c r="G18" s="733"/>
      <c r="H18" s="733">
        <f>E18/12*6</f>
        <v>70465852.325111017</v>
      </c>
      <c r="I18" s="258">
        <f t="shared" si="1"/>
        <v>70465852.325111017</v>
      </c>
      <c r="J18" s="575">
        <f t="shared" si="2"/>
        <v>1</v>
      </c>
      <c r="K18" s="735">
        <f>E18</f>
        <v>140931704.65022203</v>
      </c>
    </row>
    <row r="19" spans="1:11" ht="12.75" customHeight="1" x14ac:dyDescent="0.25">
      <c r="A19" s="574" t="s">
        <v>1226</v>
      </c>
      <c r="B19" s="169"/>
      <c r="C19" s="748"/>
      <c r="D19" s="745"/>
      <c r="E19" s="733"/>
      <c r="F19" s="733"/>
      <c r="G19" s="733"/>
      <c r="H19" s="733"/>
      <c r="I19" s="258">
        <f t="shared" si="1"/>
        <v>0</v>
      </c>
      <c r="J19" s="575" t="str">
        <f t="shared" si="2"/>
        <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0</v>
      </c>
      <c r="E27" s="408">
        <f t="shared" si="6"/>
        <v>0</v>
      </c>
      <c r="F27" s="408">
        <f t="shared" si="6"/>
        <v>0</v>
      </c>
      <c r="G27" s="408">
        <f t="shared" si="6"/>
        <v>6294640.6100000003</v>
      </c>
      <c r="H27" s="408">
        <f t="shared" si="6"/>
        <v>0</v>
      </c>
      <c r="I27" s="258">
        <f t="shared" si="1"/>
        <v>-6294640.6100000003</v>
      </c>
      <c r="J27" s="575" t="e">
        <f t="shared" si="2"/>
        <v>#DIV/0!</v>
      </c>
      <c r="K27" s="642">
        <f>SUM(K28:K37)</f>
        <v>0</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c r="F30" s="733"/>
      <c r="G30" s="733"/>
      <c r="H30" s="733"/>
      <c r="I30" s="258">
        <f t="shared" si="1"/>
        <v>0</v>
      </c>
      <c r="J30" s="575" t="str">
        <f t="shared" si="2"/>
        <v/>
      </c>
      <c r="K30" s="735"/>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c r="G34" s="733">
        <v>6294640.6100000003</v>
      </c>
      <c r="H34" s="733"/>
      <c r="I34" s="258">
        <f t="shared" si="1"/>
        <v>-6294640.6100000003</v>
      </c>
      <c r="J34" s="575" t="e">
        <f t="shared" si="2"/>
        <v>#DIV/0!</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48520598.76723469</v>
      </c>
      <c r="E38" s="408">
        <f t="shared" si="7"/>
        <v>48520598.76723469</v>
      </c>
      <c r="F38" s="408">
        <f t="shared" si="7"/>
        <v>0</v>
      </c>
      <c r="G38" s="408">
        <f t="shared" si="7"/>
        <v>6783168.5700000003</v>
      </c>
      <c r="H38" s="408">
        <f t="shared" si="7"/>
        <v>24260299.383617345</v>
      </c>
      <c r="I38" s="258">
        <f t="shared" ref="I38:I44" si="8">H38-G38</f>
        <v>17477130.813617345</v>
      </c>
      <c r="J38" s="575">
        <f t="shared" ref="J38:J44" si="9">IF(I38=0,"",I38/H38)</f>
        <v>0.72040045908994088</v>
      </c>
      <c r="K38" s="642">
        <f>SUM(K39:K44)</f>
        <v>48520598.76723469</v>
      </c>
    </row>
    <row r="39" spans="1:11" ht="12.75" customHeight="1" x14ac:dyDescent="0.25">
      <c r="A39" s="574" t="s">
        <v>1244</v>
      </c>
      <c r="B39" s="169"/>
      <c r="C39" s="748"/>
      <c r="D39" s="745"/>
      <c r="E39" s="733"/>
      <c r="F39" s="733"/>
      <c r="G39" s="733"/>
      <c r="H39" s="733"/>
      <c r="I39" s="258">
        <f t="shared" si="8"/>
        <v>0</v>
      </c>
      <c r="J39" s="575" t="str">
        <f t="shared" si="9"/>
        <v/>
      </c>
      <c r="K39" s="735"/>
    </row>
    <row r="40" spans="1:11" ht="12.75" customHeight="1" x14ac:dyDescent="0.25">
      <c r="A40" s="574" t="s">
        <v>135</v>
      </c>
      <c r="B40" s="169"/>
      <c r="C40" s="748"/>
      <c r="D40" s="745">
        <v>48520598.76723469</v>
      </c>
      <c r="E40" s="733">
        <v>48520598.76723469</v>
      </c>
      <c r="F40" s="733"/>
      <c r="G40" s="733">
        <v>6783168.5700000003</v>
      </c>
      <c r="H40" s="733">
        <f>E40/12*6</f>
        <v>24260299.383617345</v>
      </c>
      <c r="I40" s="258">
        <f>H40-G40</f>
        <v>17477130.813617345</v>
      </c>
      <c r="J40" s="575">
        <f>IF(I40=0,"",I40/H40)</f>
        <v>0.72040045908994088</v>
      </c>
      <c r="K40" s="735">
        <f>E40</f>
        <v>48520598.76723469</v>
      </c>
    </row>
    <row r="41" spans="1:11" ht="12.75" customHeight="1" x14ac:dyDescent="0.25">
      <c r="A41" s="574" t="s">
        <v>1245</v>
      </c>
      <c r="B41" s="169"/>
      <c r="C41" s="748"/>
      <c r="D41" s="745"/>
      <c r="E41" s="733"/>
      <c r="F41" s="733"/>
      <c r="G41" s="733"/>
      <c r="H41" s="733"/>
      <c r="I41" s="258">
        <f>H41-G41</f>
        <v>0</v>
      </c>
      <c r="J41" s="575" t="str">
        <f>IF(I41=0,"",I41/H41)</f>
        <v/>
      </c>
      <c r="K41" s="735"/>
    </row>
    <row r="42" spans="1:11" ht="12.75" customHeight="1" x14ac:dyDescent="0.25">
      <c r="A42" s="574" t="s">
        <v>1246</v>
      </c>
      <c r="B42" s="169"/>
      <c r="C42" s="748"/>
      <c r="D42" s="745"/>
      <c r="E42" s="733"/>
      <c r="F42" s="733"/>
      <c r="G42" s="733"/>
      <c r="H42" s="733"/>
      <c r="I42" s="258">
        <f>H42-G42</f>
        <v>0</v>
      </c>
      <c r="J42" s="575" t="str">
        <f>IF(I42=0,"",I42/H42)</f>
        <v/>
      </c>
      <c r="K42" s="735"/>
    </row>
    <row r="43" spans="1:11" ht="12.75" customHeight="1" x14ac:dyDescent="0.25">
      <c r="A43" s="574" t="s">
        <v>1247</v>
      </c>
      <c r="B43" s="169"/>
      <c r="C43" s="748"/>
      <c r="D43" s="745"/>
      <c r="E43" s="733"/>
      <c r="F43" s="733"/>
      <c r="G43" s="733"/>
      <c r="H43" s="733"/>
      <c r="I43" s="258">
        <f t="shared" si="8"/>
        <v>0</v>
      </c>
      <c r="J43" s="575" t="str">
        <f t="shared" si="9"/>
        <v/>
      </c>
      <c r="K43" s="735"/>
    </row>
    <row r="44" spans="1:11" ht="12.75" customHeight="1" x14ac:dyDescent="0.25">
      <c r="A44" s="574" t="s">
        <v>1219</v>
      </c>
      <c r="B44" s="169"/>
      <c r="C44" s="748"/>
      <c r="D44" s="745"/>
      <c r="E44" s="733"/>
      <c r="F44" s="733"/>
      <c r="G44" s="733"/>
      <c r="H44" s="733"/>
      <c r="I44" s="258">
        <f t="shared" si="8"/>
        <v>0</v>
      </c>
      <c r="J44" s="575" t="str">
        <f t="shared" si="9"/>
        <v/>
      </c>
      <c r="K44" s="735"/>
    </row>
    <row r="45" spans="1:11" ht="12.75" customHeight="1" x14ac:dyDescent="0.25">
      <c r="A45" s="517" t="s">
        <v>1248</v>
      </c>
      <c r="B45" s="169"/>
      <c r="C45" s="648">
        <f t="shared" ref="C45:H45" si="10">SUM(C46:C52)</f>
        <v>0</v>
      </c>
      <c r="D45" s="649">
        <f t="shared" si="10"/>
        <v>0</v>
      </c>
      <c r="E45" s="408">
        <f t="shared" si="10"/>
        <v>0</v>
      </c>
      <c r="F45" s="408">
        <f t="shared" si="10"/>
        <v>0</v>
      </c>
      <c r="G45" s="408">
        <f t="shared" si="10"/>
        <v>0</v>
      </c>
      <c r="H45" s="408">
        <f t="shared" si="10"/>
        <v>0</v>
      </c>
      <c r="I45" s="258">
        <f t="shared" ref="I45:I68" si="11">H45-G45</f>
        <v>0</v>
      </c>
      <c r="J45" s="575" t="str">
        <f t="shared" ref="J45:J68" si="12">IF(I45=0,"",I45/H45)</f>
        <v/>
      </c>
      <c r="K45" s="642">
        <f>SUM(K46:K52)</f>
        <v>0</v>
      </c>
    </row>
    <row r="46" spans="1:11" ht="12.75" customHeight="1" x14ac:dyDescent="0.25">
      <c r="A46" s="574" t="s">
        <v>1249</v>
      </c>
      <c r="B46" s="169"/>
      <c r="C46" s="748"/>
      <c r="D46" s="745"/>
      <c r="E46" s="733"/>
      <c r="F46" s="733"/>
      <c r="G46" s="733"/>
      <c r="H46" s="733"/>
      <c r="I46" s="258">
        <f t="shared" si="11"/>
        <v>0</v>
      </c>
      <c r="J46" s="575" t="str">
        <f t="shared" si="12"/>
        <v/>
      </c>
      <c r="K46" s="735"/>
    </row>
    <row r="47" spans="1:11" ht="12.75" customHeight="1" x14ac:dyDescent="0.25">
      <c r="A47" s="574" t="s">
        <v>1250</v>
      </c>
      <c r="B47" s="169"/>
      <c r="C47" s="748"/>
      <c r="D47" s="745"/>
      <c r="E47" s="733"/>
      <c r="F47" s="733"/>
      <c r="G47" s="733"/>
      <c r="H47" s="733"/>
      <c r="I47" s="258">
        <f t="shared" si="11"/>
        <v>0</v>
      </c>
      <c r="J47" s="575" t="str">
        <f t="shared" si="12"/>
        <v/>
      </c>
      <c r="K47" s="735"/>
    </row>
    <row r="48" spans="1:11" ht="12.75" customHeight="1" x14ac:dyDescent="0.25">
      <c r="A48" s="574" t="s">
        <v>1251</v>
      </c>
      <c r="B48" s="169"/>
      <c r="C48" s="748"/>
      <c r="D48" s="745"/>
      <c r="E48" s="733"/>
      <c r="F48" s="733"/>
      <c r="G48" s="733"/>
      <c r="H48" s="733"/>
      <c r="I48" s="258">
        <f>H48-G48</f>
        <v>0</v>
      </c>
      <c r="J48" s="575" t="str">
        <f>IF(I48=0,"",I48/H48)</f>
        <v/>
      </c>
      <c r="K48" s="735"/>
    </row>
    <row r="49" spans="1:11" ht="12.75" customHeight="1" x14ac:dyDescent="0.25">
      <c r="A49" s="574" t="s">
        <v>1252</v>
      </c>
      <c r="B49" s="169"/>
      <c r="C49" s="748"/>
      <c r="D49" s="745"/>
      <c r="E49" s="733"/>
      <c r="F49" s="733"/>
      <c r="G49" s="733"/>
      <c r="H49" s="733"/>
      <c r="I49" s="258">
        <f t="shared" si="11"/>
        <v>0</v>
      </c>
      <c r="J49" s="575" t="str">
        <f t="shared" si="12"/>
        <v/>
      </c>
      <c r="K49" s="735"/>
    </row>
    <row r="50" spans="1:11" ht="12.75" customHeight="1" x14ac:dyDescent="0.25">
      <c r="A50" s="574" t="s">
        <v>1253</v>
      </c>
      <c r="B50" s="169"/>
      <c r="C50" s="748"/>
      <c r="D50" s="745"/>
      <c r="E50" s="733"/>
      <c r="F50" s="733"/>
      <c r="G50" s="733"/>
      <c r="H50" s="733"/>
      <c r="I50" s="258">
        <f t="shared" si="11"/>
        <v>0</v>
      </c>
      <c r="J50" s="575" t="str">
        <f t="shared" si="12"/>
        <v/>
      </c>
      <c r="K50" s="735"/>
    </row>
    <row r="51" spans="1:11" ht="12.75" customHeight="1" x14ac:dyDescent="0.25">
      <c r="A51" s="574" t="s">
        <v>1254</v>
      </c>
      <c r="B51" s="169"/>
      <c r="C51" s="748"/>
      <c r="D51" s="745"/>
      <c r="E51" s="733"/>
      <c r="F51" s="733"/>
      <c r="G51" s="733"/>
      <c r="H51" s="733"/>
      <c r="I51" s="258">
        <f t="shared" si="11"/>
        <v>0</v>
      </c>
      <c r="J51" s="575" t="str">
        <f t="shared" si="12"/>
        <v/>
      </c>
      <c r="K51" s="735"/>
    </row>
    <row r="52" spans="1:11" ht="12.75" customHeight="1" x14ac:dyDescent="0.25">
      <c r="A52" s="574" t="s">
        <v>1219</v>
      </c>
      <c r="B52" s="169"/>
      <c r="C52" s="748"/>
      <c r="D52" s="745"/>
      <c r="E52" s="733"/>
      <c r="F52" s="733"/>
      <c r="G52" s="733"/>
      <c r="H52" s="733"/>
      <c r="I52" s="258">
        <f t="shared" si="11"/>
        <v>0</v>
      </c>
      <c r="J52" s="575" t="str">
        <f t="shared" si="12"/>
        <v/>
      </c>
      <c r="K52" s="735"/>
    </row>
    <row r="53" spans="1:11" ht="12.75" customHeight="1" x14ac:dyDescent="0.25">
      <c r="A53" s="518" t="s">
        <v>1255</v>
      </c>
      <c r="B53" s="169"/>
      <c r="C53" s="648">
        <f t="shared" ref="C53:H53" si="13">SUM(C54:C62)</f>
        <v>0</v>
      </c>
      <c r="D53" s="649">
        <f t="shared" si="13"/>
        <v>0</v>
      </c>
      <c r="E53" s="408">
        <f t="shared" si="13"/>
        <v>0</v>
      </c>
      <c r="F53" s="408">
        <f t="shared" si="13"/>
        <v>0</v>
      </c>
      <c r="G53" s="408">
        <f t="shared" si="13"/>
        <v>0</v>
      </c>
      <c r="H53" s="408">
        <f t="shared" si="13"/>
        <v>0</v>
      </c>
      <c r="I53" s="258">
        <f t="shared" si="11"/>
        <v>0</v>
      </c>
      <c r="J53" s="575" t="str">
        <f t="shared" si="12"/>
        <v/>
      </c>
      <c r="K53" s="642">
        <f>SUM(K54:K62)</f>
        <v>0</v>
      </c>
    </row>
    <row r="54" spans="1:11" ht="12.75" customHeight="1" x14ac:dyDescent="0.25">
      <c r="A54" s="574" t="s">
        <v>1256</v>
      </c>
      <c r="B54" s="169"/>
      <c r="C54" s="748"/>
      <c r="D54" s="745"/>
      <c r="E54" s="733"/>
      <c r="F54" s="733"/>
      <c r="G54" s="733"/>
      <c r="H54" s="733"/>
      <c r="I54" s="258">
        <f t="shared" si="11"/>
        <v>0</v>
      </c>
      <c r="J54" s="575" t="str">
        <f t="shared" si="12"/>
        <v/>
      </c>
      <c r="K54" s="735"/>
    </row>
    <row r="55" spans="1:11" ht="12.75" customHeight="1" x14ac:dyDescent="0.25">
      <c r="A55" s="574" t="s">
        <v>1257</v>
      </c>
      <c r="B55" s="169"/>
      <c r="C55" s="748"/>
      <c r="D55" s="745"/>
      <c r="E55" s="733"/>
      <c r="F55" s="733"/>
      <c r="G55" s="733"/>
      <c r="H55" s="733"/>
      <c r="I55" s="258">
        <f t="shared" si="11"/>
        <v>0</v>
      </c>
      <c r="J55" s="575" t="str">
        <f t="shared" si="12"/>
        <v/>
      </c>
      <c r="K55" s="735"/>
    </row>
    <row r="56" spans="1:11" ht="12.75" customHeight="1" x14ac:dyDescent="0.25">
      <c r="A56" s="574" t="s">
        <v>1258</v>
      </c>
      <c r="B56" s="169"/>
      <c r="C56" s="748"/>
      <c r="D56" s="745"/>
      <c r="E56" s="733"/>
      <c r="F56" s="733"/>
      <c r="G56" s="733"/>
      <c r="H56" s="733"/>
      <c r="I56" s="258">
        <f t="shared" si="11"/>
        <v>0</v>
      </c>
      <c r="J56" s="575" t="str">
        <f t="shared" si="12"/>
        <v/>
      </c>
      <c r="K56" s="735"/>
    </row>
    <row r="57" spans="1:11" ht="12.75" customHeight="1" x14ac:dyDescent="0.25">
      <c r="A57" s="574" t="s">
        <v>1221</v>
      </c>
      <c r="B57" s="169"/>
      <c r="C57" s="748"/>
      <c r="D57" s="745"/>
      <c r="E57" s="733"/>
      <c r="F57" s="733"/>
      <c r="G57" s="733"/>
      <c r="H57" s="733"/>
      <c r="I57" s="258">
        <f t="shared" si="11"/>
        <v>0</v>
      </c>
      <c r="J57" s="575" t="str">
        <f t="shared" si="12"/>
        <v/>
      </c>
      <c r="K57" s="735"/>
    </row>
    <row r="58" spans="1:11" ht="12.75" customHeight="1" x14ac:dyDescent="0.25">
      <c r="A58" s="574" t="s">
        <v>1222</v>
      </c>
      <c r="B58" s="169"/>
      <c r="C58" s="748"/>
      <c r="D58" s="745"/>
      <c r="E58" s="733"/>
      <c r="F58" s="733"/>
      <c r="G58" s="733"/>
      <c r="H58" s="733"/>
      <c r="I58" s="258">
        <f t="shared" si="11"/>
        <v>0</v>
      </c>
      <c r="J58" s="575" t="str">
        <f t="shared" si="12"/>
        <v/>
      </c>
      <c r="K58" s="735"/>
    </row>
    <row r="59" spans="1:11" ht="12.75" customHeight="1" x14ac:dyDescent="0.25">
      <c r="A59" s="574" t="s">
        <v>1223</v>
      </c>
      <c r="B59" s="169"/>
      <c r="C59" s="748"/>
      <c r="D59" s="745"/>
      <c r="E59" s="733"/>
      <c r="F59" s="733"/>
      <c r="G59" s="733"/>
      <c r="H59" s="733"/>
      <c r="I59" s="258">
        <f t="shared" si="11"/>
        <v>0</v>
      </c>
      <c r="J59" s="575" t="str">
        <f t="shared" si="12"/>
        <v/>
      </c>
      <c r="K59" s="735"/>
    </row>
    <row r="60" spans="1:11" ht="12.75" customHeight="1" x14ac:dyDescent="0.25">
      <c r="A60" s="574" t="s">
        <v>1229</v>
      </c>
      <c r="B60" s="169"/>
      <c r="C60" s="748"/>
      <c r="D60" s="745"/>
      <c r="E60" s="733"/>
      <c r="F60" s="733"/>
      <c r="G60" s="733"/>
      <c r="H60" s="733"/>
      <c r="I60" s="258">
        <f t="shared" si="11"/>
        <v>0</v>
      </c>
      <c r="J60" s="575" t="str">
        <f t="shared" si="12"/>
        <v/>
      </c>
      <c r="K60" s="735"/>
    </row>
    <row r="61" spans="1:11" ht="12.75" customHeight="1" x14ac:dyDescent="0.25">
      <c r="A61" s="574" t="s">
        <v>1232</v>
      </c>
      <c r="B61" s="169"/>
      <c r="C61" s="748"/>
      <c r="D61" s="745"/>
      <c r="E61" s="733"/>
      <c r="F61" s="733"/>
      <c r="G61" s="733"/>
      <c r="H61" s="733"/>
      <c r="I61" s="258">
        <f t="shared" si="11"/>
        <v>0</v>
      </c>
      <c r="J61" s="575" t="str">
        <f t="shared" si="12"/>
        <v/>
      </c>
      <c r="K61" s="735"/>
    </row>
    <row r="62" spans="1:11" ht="12.75" customHeight="1" x14ac:dyDescent="0.25">
      <c r="A62" s="574" t="s">
        <v>1219</v>
      </c>
      <c r="B62" s="169"/>
      <c r="C62" s="748"/>
      <c r="D62" s="745"/>
      <c r="E62" s="733"/>
      <c r="F62" s="733"/>
      <c r="G62" s="733"/>
      <c r="H62" s="733"/>
      <c r="I62" s="258">
        <f t="shared" si="11"/>
        <v>0</v>
      </c>
      <c r="J62" s="575" t="str">
        <f t="shared" si="12"/>
        <v/>
      </c>
      <c r="K62" s="735"/>
    </row>
    <row r="63" spans="1:11" ht="12.75" customHeight="1" x14ac:dyDescent="0.25">
      <c r="A63" s="517" t="s">
        <v>1259</v>
      </c>
      <c r="B63" s="169"/>
      <c r="C63" s="648">
        <f t="shared" ref="C63:H63" si="14">SUM(C64:C68)</f>
        <v>0</v>
      </c>
      <c r="D63" s="649">
        <f t="shared" si="14"/>
        <v>0</v>
      </c>
      <c r="E63" s="408">
        <f t="shared" si="14"/>
        <v>0</v>
      </c>
      <c r="F63" s="408">
        <f t="shared" si="14"/>
        <v>0</v>
      </c>
      <c r="G63" s="408">
        <f t="shared" si="14"/>
        <v>0</v>
      </c>
      <c r="H63" s="408">
        <f t="shared" si="14"/>
        <v>0</v>
      </c>
      <c r="I63" s="258">
        <f t="shared" si="11"/>
        <v>0</v>
      </c>
      <c r="J63" s="575" t="str">
        <f t="shared" si="12"/>
        <v/>
      </c>
      <c r="K63" s="642">
        <f>SUM(K64:K68)</f>
        <v>0</v>
      </c>
    </row>
    <row r="64" spans="1:11" ht="12.75" customHeight="1" x14ac:dyDescent="0.25">
      <c r="A64" s="574" t="s">
        <v>1260</v>
      </c>
      <c r="B64" s="169"/>
      <c r="C64" s="748"/>
      <c r="D64" s="745"/>
      <c r="E64" s="733"/>
      <c r="F64" s="733"/>
      <c r="G64" s="733"/>
      <c r="H64" s="733"/>
      <c r="I64" s="258">
        <f t="shared" si="11"/>
        <v>0</v>
      </c>
      <c r="J64" s="575" t="str">
        <f t="shared" si="12"/>
        <v/>
      </c>
      <c r="K64" s="735"/>
    </row>
    <row r="65" spans="1:11" ht="12.75" customHeight="1" x14ac:dyDescent="0.25">
      <c r="A65" s="574" t="s">
        <v>1261</v>
      </c>
      <c r="B65" s="169"/>
      <c r="C65" s="748"/>
      <c r="D65" s="745"/>
      <c r="E65" s="733"/>
      <c r="F65" s="733"/>
      <c r="G65" s="733"/>
      <c r="H65" s="733"/>
      <c r="I65" s="258">
        <f t="shared" si="11"/>
        <v>0</v>
      </c>
      <c r="J65" s="575" t="str">
        <f t="shared" si="12"/>
        <v/>
      </c>
      <c r="K65" s="735"/>
    </row>
    <row r="66" spans="1:11" ht="12.75" customHeight="1" x14ac:dyDescent="0.25">
      <c r="A66" s="574" t="s">
        <v>1262</v>
      </c>
      <c r="B66" s="169"/>
      <c r="C66" s="748"/>
      <c r="D66" s="745"/>
      <c r="E66" s="733"/>
      <c r="F66" s="733"/>
      <c r="G66" s="733"/>
      <c r="H66" s="733"/>
      <c r="I66" s="258">
        <f t="shared" si="11"/>
        <v>0</v>
      </c>
      <c r="J66" s="575" t="str">
        <f t="shared" si="12"/>
        <v/>
      </c>
      <c r="K66" s="735"/>
    </row>
    <row r="67" spans="1:11" ht="12.75" customHeight="1" x14ac:dyDescent="0.25">
      <c r="A67" s="574" t="s">
        <v>1263</v>
      </c>
      <c r="B67" s="169"/>
      <c r="C67" s="748"/>
      <c r="D67" s="745"/>
      <c r="E67" s="733"/>
      <c r="F67" s="733"/>
      <c r="G67" s="733"/>
      <c r="H67" s="733"/>
      <c r="I67" s="258">
        <f t="shared" si="11"/>
        <v>0</v>
      </c>
      <c r="J67" s="575" t="str">
        <f t="shared" si="12"/>
        <v/>
      </c>
      <c r="K67" s="735"/>
    </row>
    <row r="68" spans="1:11" ht="12.75" customHeight="1" x14ac:dyDescent="0.25">
      <c r="A68" s="574" t="s">
        <v>1219</v>
      </c>
      <c r="B68" s="169"/>
      <c r="C68" s="748"/>
      <c r="D68" s="745"/>
      <c r="E68" s="733"/>
      <c r="F68" s="733"/>
      <c r="G68" s="733"/>
      <c r="H68" s="733"/>
      <c r="I68" s="258">
        <f t="shared" si="11"/>
        <v>0</v>
      </c>
      <c r="J68" s="575" t="str">
        <f t="shared" si="12"/>
        <v/>
      </c>
      <c r="K68" s="735"/>
    </row>
    <row r="69" spans="1:11" ht="12.75" customHeight="1" x14ac:dyDescent="0.25">
      <c r="A69" s="518" t="s">
        <v>1264</v>
      </c>
      <c r="B69" s="169"/>
      <c r="C69" s="648">
        <f t="shared" ref="C69:H69" si="15">SUM(C70:C73)</f>
        <v>0</v>
      </c>
      <c r="D69" s="649">
        <f t="shared" si="15"/>
        <v>0</v>
      </c>
      <c r="E69" s="408">
        <f t="shared" si="15"/>
        <v>0</v>
      </c>
      <c r="F69" s="408">
        <f t="shared" si="15"/>
        <v>0</v>
      </c>
      <c r="G69" s="408">
        <f t="shared" si="15"/>
        <v>0</v>
      </c>
      <c r="H69" s="408">
        <f t="shared" si="15"/>
        <v>0</v>
      </c>
      <c r="I69" s="258">
        <f>H69-G69</f>
        <v>0</v>
      </c>
      <c r="J69" s="575" t="str">
        <f t="shared" ref="J69:J75" si="16">IF(I69=0,"",I69/H69)</f>
        <v/>
      </c>
      <c r="K69" s="642">
        <f>SUM(K70:K73)</f>
        <v>0</v>
      </c>
    </row>
    <row r="70" spans="1:11" ht="12.75" customHeight="1" x14ac:dyDescent="0.25">
      <c r="A70" s="574" t="s">
        <v>1265</v>
      </c>
      <c r="B70" s="169"/>
      <c r="C70" s="748"/>
      <c r="D70" s="745"/>
      <c r="E70" s="733"/>
      <c r="F70" s="733"/>
      <c r="G70" s="733"/>
      <c r="H70" s="733"/>
      <c r="I70" s="258">
        <f>H70-G70</f>
        <v>0</v>
      </c>
      <c r="J70" s="575" t="str">
        <f t="shared" si="16"/>
        <v/>
      </c>
      <c r="K70" s="735"/>
    </row>
    <row r="71" spans="1:11" ht="12.75" customHeight="1" x14ac:dyDescent="0.25">
      <c r="A71" s="574" t="s">
        <v>1266</v>
      </c>
      <c r="B71" s="169"/>
      <c r="C71" s="748"/>
      <c r="D71" s="745"/>
      <c r="E71" s="733"/>
      <c r="F71" s="733"/>
      <c r="G71" s="733"/>
      <c r="H71" s="733"/>
      <c r="I71" s="258">
        <f>H71-G71</f>
        <v>0</v>
      </c>
      <c r="J71" s="575" t="str">
        <f t="shared" si="16"/>
        <v/>
      </c>
      <c r="K71" s="735"/>
    </row>
    <row r="72" spans="1:11" ht="12.75" customHeight="1" x14ac:dyDescent="0.25">
      <c r="A72" s="574" t="s">
        <v>1267</v>
      </c>
      <c r="B72" s="169"/>
      <c r="C72" s="748"/>
      <c r="D72" s="745"/>
      <c r="E72" s="733"/>
      <c r="F72" s="733"/>
      <c r="G72" s="733"/>
      <c r="H72" s="733"/>
      <c r="I72" s="258">
        <f>H72-G72</f>
        <v>0</v>
      </c>
      <c r="J72" s="575" t="str">
        <f t="shared" si="16"/>
        <v/>
      </c>
      <c r="K72" s="735"/>
    </row>
    <row r="73" spans="1:11" ht="12.75" customHeight="1" x14ac:dyDescent="0.25">
      <c r="A73" s="574" t="s">
        <v>1219</v>
      </c>
      <c r="B73" s="169"/>
      <c r="C73" s="748"/>
      <c r="D73" s="745"/>
      <c r="E73" s="733"/>
      <c r="F73" s="733"/>
      <c r="G73" s="733"/>
      <c r="H73" s="733"/>
      <c r="I73" s="258">
        <f>H73-G73</f>
        <v>0</v>
      </c>
      <c r="J73" s="575" t="str">
        <f t="shared" si="16"/>
        <v/>
      </c>
      <c r="K73" s="735"/>
    </row>
    <row r="74" spans="1:11" ht="5.25" customHeight="1" x14ac:dyDescent="0.25">
      <c r="A74" s="574"/>
      <c r="B74" s="169"/>
      <c r="C74" s="134"/>
      <c r="D74" s="46"/>
      <c r="E74" s="44"/>
      <c r="F74" s="44"/>
      <c r="G74" s="44"/>
      <c r="H74" s="44"/>
      <c r="I74" s="258"/>
      <c r="J74" s="575" t="str">
        <f t="shared" si="16"/>
        <v/>
      </c>
      <c r="K74" s="144"/>
    </row>
    <row r="75" spans="1:11" ht="12.75" customHeight="1" x14ac:dyDescent="0.25">
      <c r="A75" s="35" t="s">
        <v>1288</v>
      </c>
      <c r="B75" s="169"/>
      <c r="C75" s="576">
        <f t="shared" ref="C75:H75" si="17">+C76+C99</f>
        <v>0</v>
      </c>
      <c r="D75" s="577">
        <f t="shared" si="17"/>
        <v>39558111.673645303</v>
      </c>
      <c r="E75" s="578">
        <f t="shared" si="17"/>
        <v>39558111.673645303</v>
      </c>
      <c r="F75" s="578">
        <f t="shared" si="17"/>
        <v>860032.79</v>
      </c>
      <c r="G75" s="578">
        <f t="shared" si="17"/>
        <v>1815155.73</v>
      </c>
      <c r="H75" s="578">
        <f t="shared" si="17"/>
        <v>19779055.836822651</v>
      </c>
      <c r="I75" s="578">
        <f>H75-G75</f>
        <v>17963900.106822651</v>
      </c>
      <c r="J75" s="579">
        <f t="shared" si="16"/>
        <v>0.90822839345947315</v>
      </c>
      <c r="K75" s="580">
        <f>+K76+K99</f>
        <v>39558111.673645303</v>
      </c>
    </row>
    <row r="76" spans="1:11" ht="12.75" customHeight="1" x14ac:dyDescent="0.25">
      <c r="A76" s="518" t="s">
        <v>1268</v>
      </c>
      <c r="B76" s="169"/>
      <c r="C76" s="648">
        <f t="shared" ref="C76:H76" si="18">SUM(C77:C98)</f>
        <v>0</v>
      </c>
      <c r="D76" s="649">
        <f t="shared" si="18"/>
        <v>39558111.673645303</v>
      </c>
      <c r="E76" s="408">
        <f t="shared" si="18"/>
        <v>39558111.673645303</v>
      </c>
      <c r="F76" s="408">
        <f t="shared" si="18"/>
        <v>860032.79</v>
      </c>
      <c r="G76" s="408">
        <f>SUM(G77:G98)</f>
        <v>1815155.73</v>
      </c>
      <c r="H76" s="408">
        <f t="shared" si="18"/>
        <v>19779055.836822651</v>
      </c>
      <c r="I76" s="258">
        <f t="shared" ref="I76:I87" si="19">H76-G76</f>
        <v>17963900.106822651</v>
      </c>
      <c r="J76" s="575">
        <f t="shared" ref="J76:J87" si="20">IF(I76=0,"",I76/H76)</f>
        <v>0.90822839345947315</v>
      </c>
      <c r="K76" s="642">
        <f>SUM(K77:K98)</f>
        <v>39558111.673645303</v>
      </c>
    </row>
    <row r="77" spans="1:11" ht="12.75" customHeight="1" x14ac:dyDescent="0.25">
      <c r="A77" s="574" t="s">
        <v>1269</v>
      </c>
      <c r="B77" s="169"/>
      <c r="C77" s="748"/>
      <c r="D77" s="753">
        <v>37464350.795641594</v>
      </c>
      <c r="E77" s="748">
        <v>37464350.795641594</v>
      </c>
      <c r="F77" s="733">
        <v>860032.79</v>
      </c>
      <c r="G77" s="733">
        <v>1815155.73</v>
      </c>
      <c r="H77" s="733">
        <f>E77/12*6</f>
        <v>18732175.397820797</v>
      </c>
      <c r="I77" s="44" t="e">
        <f>H77-#REF!</f>
        <v>#REF!</v>
      </c>
      <c r="J77" s="124" t="e">
        <f t="shared" si="20"/>
        <v>#REF!</v>
      </c>
      <c r="K77" s="735">
        <f>E77</f>
        <v>37464350.795641594</v>
      </c>
    </row>
    <row r="78" spans="1:11" ht="12.75" customHeight="1" x14ac:dyDescent="0.25">
      <c r="A78" s="574" t="s">
        <v>1270</v>
      </c>
      <c r="B78" s="169"/>
      <c r="C78" s="748"/>
      <c r="D78" s="753"/>
      <c r="E78" s="733"/>
      <c r="F78" s="733"/>
      <c r="G78" s="733"/>
      <c r="H78" s="733"/>
      <c r="I78" s="44">
        <f t="shared" si="19"/>
        <v>0</v>
      </c>
      <c r="J78" s="124" t="str">
        <f t="shared" si="20"/>
        <v/>
      </c>
      <c r="K78" s="735"/>
    </row>
    <row r="79" spans="1:11" ht="12.75" customHeight="1" x14ac:dyDescent="0.25">
      <c r="A79" s="574" t="s">
        <v>1271</v>
      </c>
      <c r="B79" s="169"/>
      <c r="C79" s="748"/>
      <c r="D79" s="753"/>
      <c r="E79" s="733"/>
      <c r="F79" s="733"/>
      <c r="G79" s="733"/>
      <c r="H79" s="733"/>
      <c r="I79" s="44">
        <f t="shared" si="19"/>
        <v>0</v>
      </c>
      <c r="J79" s="124" t="str">
        <f t="shared" si="20"/>
        <v/>
      </c>
      <c r="K79" s="735"/>
    </row>
    <row r="80" spans="1:11" ht="12.75" customHeight="1" x14ac:dyDescent="0.25">
      <c r="A80" s="574" t="s">
        <v>1272</v>
      </c>
      <c r="B80" s="169"/>
      <c r="C80" s="748"/>
      <c r="D80" s="753"/>
      <c r="E80" s="733"/>
      <c r="F80" s="733"/>
      <c r="G80" s="733"/>
      <c r="H80" s="733"/>
      <c r="I80" s="44">
        <f t="shared" si="19"/>
        <v>0</v>
      </c>
      <c r="J80" s="124" t="str">
        <f t="shared" si="20"/>
        <v/>
      </c>
      <c r="K80" s="735"/>
    </row>
    <row r="81" spans="1:11" ht="12.75" customHeight="1" x14ac:dyDescent="0.25">
      <c r="A81" s="574" t="s">
        <v>1273</v>
      </c>
      <c r="B81" s="169"/>
      <c r="C81" s="748"/>
      <c r="D81" s="753"/>
      <c r="E81" s="733"/>
      <c r="F81" s="733"/>
      <c r="G81" s="733"/>
      <c r="H81" s="733"/>
      <c r="I81" s="44">
        <f t="shared" si="19"/>
        <v>0</v>
      </c>
      <c r="J81" s="124" t="str">
        <f t="shared" si="20"/>
        <v/>
      </c>
      <c r="K81" s="735"/>
    </row>
    <row r="82" spans="1:11" ht="12.75" customHeight="1" x14ac:dyDescent="0.25">
      <c r="A82" s="574" t="s">
        <v>1274</v>
      </c>
      <c r="B82" s="169"/>
      <c r="C82" s="748"/>
      <c r="D82" s="753"/>
      <c r="E82" s="733"/>
      <c r="F82" s="733"/>
      <c r="G82" s="733"/>
      <c r="H82" s="733"/>
      <c r="I82" s="44">
        <f t="shared" si="19"/>
        <v>0</v>
      </c>
      <c r="J82" s="124" t="str">
        <f t="shared" si="20"/>
        <v/>
      </c>
      <c r="K82" s="735"/>
    </row>
    <row r="83" spans="1:11" ht="12.75" customHeight="1" x14ac:dyDescent="0.25">
      <c r="A83" s="574" t="s">
        <v>1275</v>
      </c>
      <c r="B83" s="169"/>
      <c r="C83" s="748"/>
      <c r="D83" s="753"/>
      <c r="E83" s="733"/>
      <c r="F83" s="733"/>
      <c r="G83" s="733"/>
      <c r="H83" s="733"/>
      <c r="I83" s="44">
        <f t="shared" si="19"/>
        <v>0</v>
      </c>
      <c r="J83" s="124" t="str">
        <f t="shared" si="20"/>
        <v/>
      </c>
      <c r="K83" s="735"/>
    </row>
    <row r="84" spans="1:11" ht="12.75" customHeight="1" x14ac:dyDescent="0.25">
      <c r="A84" s="574" t="s">
        <v>1276</v>
      </c>
      <c r="B84" s="169"/>
      <c r="C84" s="748"/>
      <c r="D84" s="753">
        <v>1356247.7767417443</v>
      </c>
      <c r="E84" s="733">
        <v>1356247.7767417443</v>
      </c>
      <c r="F84" s="733"/>
      <c r="G84" s="733"/>
      <c r="H84" s="733">
        <f>E84/12*6</f>
        <v>678123.88837087213</v>
      </c>
      <c r="I84" s="44">
        <f t="shared" si="19"/>
        <v>678123.88837087213</v>
      </c>
      <c r="J84" s="124">
        <f t="shared" si="20"/>
        <v>1</v>
      </c>
      <c r="K84" s="735">
        <f>E84</f>
        <v>1356247.7767417443</v>
      </c>
    </row>
    <row r="85" spans="1:11" ht="12.75" customHeight="1" x14ac:dyDescent="0.25">
      <c r="A85" s="574" t="s">
        <v>1152</v>
      </c>
      <c r="B85" s="169"/>
      <c r="C85" s="748"/>
      <c r="D85" s="753"/>
      <c r="E85" s="733"/>
      <c r="F85" s="733"/>
      <c r="G85" s="733"/>
      <c r="H85" s="733"/>
      <c r="I85" s="44">
        <f t="shared" si="19"/>
        <v>0</v>
      </c>
      <c r="J85" s="124" t="str">
        <f t="shared" si="20"/>
        <v/>
      </c>
      <c r="K85" s="735"/>
    </row>
    <row r="86" spans="1:11" ht="12.75" customHeight="1" x14ac:dyDescent="0.25">
      <c r="A86" s="574" t="s">
        <v>553</v>
      </c>
      <c r="B86" s="169"/>
      <c r="C86" s="748"/>
      <c r="D86" s="753"/>
      <c r="E86" s="733"/>
      <c r="F86" s="733"/>
      <c r="G86" s="733"/>
      <c r="H86" s="733"/>
      <c r="I86" s="44">
        <f t="shared" si="19"/>
        <v>0</v>
      </c>
      <c r="J86" s="124" t="str">
        <f t="shared" si="20"/>
        <v/>
      </c>
      <c r="K86" s="735"/>
    </row>
    <row r="87" spans="1:11" ht="12.75" customHeight="1" x14ac:dyDescent="0.25">
      <c r="A87" s="574" t="s">
        <v>1277</v>
      </c>
      <c r="B87" s="169"/>
      <c r="C87" s="748"/>
      <c r="D87" s="753"/>
      <c r="E87" s="733"/>
      <c r="F87" s="733"/>
      <c r="G87" s="733"/>
      <c r="H87" s="733"/>
      <c r="I87" s="44">
        <f t="shared" si="19"/>
        <v>0</v>
      </c>
      <c r="J87" s="124" t="str">
        <f t="shared" si="20"/>
        <v/>
      </c>
      <c r="K87" s="735"/>
    </row>
    <row r="88" spans="1:11" ht="12.75" customHeight="1" x14ac:dyDescent="0.25">
      <c r="A88" s="574" t="s">
        <v>166</v>
      </c>
      <c r="B88" s="169"/>
      <c r="C88" s="748"/>
      <c r="D88" s="753">
        <v>737513.10126196733</v>
      </c>
      <c r="E88" s="733">
        <v>737513.10126196733</v>
      </c>
      <c r="F88" s="733"/>
      <c r="G88" s="733"/>
      <c r="H88" s="733">
        <f>E88/12*6</f>
        <v>368756.55063098366</v>
      </c>
      <c r="I88" s="44">
        <f t="shared" ref="I88:I133" si="21">H88-G88</f>
        <v>368756.55063098366</v>
      </c>
      <c r="J88" s="124">
        <f t="shared" ref="J88:J119" si="22">IF(I88=0,"",I88/H88)</f>
        <v>1</v>
      </c>
      <c r="K88" s="735">
        <f>E88</f>
        <v>737513.10126196733</v>
      </c>
    </row>
    <row r="89" spans="1:11" ht="12.75" customHeight="1" x14ac:dyDescent="0.25">
      <c r="A89" s="574" t="s">
        <v>1278</v>
      </c>
      <c r="B89" s="169"/>
      <c r="C89" s="748"/>
      <c r="D89" s="753"/>
      <c r="E89" s="733"/>
      <c r="F89" s="733"/>
      <c r="G89" s="733"/>
      <c r="H89" s="733"/>
      <c r="I89" s="44">
        <f t="shared" si="21"/>
        <v>0</v>
      </c>
      <c r="J89" s="124" t="str">
        <f t="shared" si="22"/>
        <v/>
      </c>
      <c r="K89" s="735"/>
    </row>
    <row r="90" spans="1:11" ht="12.75" customHeight="1" x14ac:dyDescent="0.25">
      <c r="A90" s="574" t="s">
        <v>1279</v>
      </c>
      <c r="B90" s="169"/>
      <c r="C90" s="748"/>
      <c r="D90" s="753"/>
      <c r="E90" s="733"/>
      <c r="F90" s="733"/>
      <c r="G90" s="733"/>
      <c r="H90" s="733"/>
      <c r="I90" s="44">
        <f t="shared" si="21"/>
        <v>0</v>
      </c>
      <c r="J90" s="124" t="str">
        <f t="shared" si="22"/>
        <v/>
      </c>
      <c r="K90" s="735"/>
    </row>
    <row r="91" spans="1:11" ht="12.75" customHeight="1" x14ac:dyDescent="0.25">
      <c r="A91" s="574" t="s">
        <v>1280</v>
      </c>
      <c r="B91" s="169"/>
      <c r="C91" s="748"/>
      <c r="D91" s="753"/>
      <c r="E91" s="733"/>
      <c r="F91" s="733"/>
      <c r="G91" s="733"/>
      <c r="H91" s="733"/>
      <c r="I91" s="44">
        <f t="shared" si="21"/>
        <v>0</v>
      </c>
      <c r="J91" s="124" t="str">
        <f t="shared" si="22"/>
        <v/>
      </c>
      <c r="K91" s="735"/>
    </row>
    <row r="92" spans="1:11" ht="12.75" customHeight="1" x14ac:dyDescent="0.25">
      <c r="A92" s="574" t="s">
        <v>1281</v>
      </c>
      <c r="B92" s="169"/>
      <c r="C92" s="748"/>
      <c r="D92" s="753"/>
      <c r="E92" s="733"/>
      <c r="F92" s="733"/>
      <c r="G92" s="733"/>
      <c r="H92" s="733"/>
      <c r="I92" s="44">
        <f t="shared" si="21"/>
        <v>0</v>
      </c>
      <c r="J92" s="124" t="str">
        <f t="shared" si="22"/>
        <v/>
      </c>
      <c r="K92" s="735"/>
    </row>
    <row r="93" spans="1:11" ht="12.75" customHeight="1" x14ac:dyDescent="0.25">
      <c r="A93" s="574" t="s">
        <v>441</v>
      </c>
      <c r="B93" s="169"/>
      <c r="C93" s="748"/>
      <c r="D93" s="753"/>
      <c r="E93" s="733"/>
      <c r="F93" s="733"/>
      <c r="G93" s="733"/>
      <c r="H93" s="733"/>
      <c r="I93" s="44">
        <f t="shared" si="21"/>
        <v>0</v>
      </c>
      <c r="J93" s="124" t="str">
        <f t="shared" si="22"/>
        <v/>
      </c>
      <c r="K93" s="735"/>
    </row>
    <row r="94" spans="1:11" ht="12.75" customHeight="1" x14ac:dyDescent="0.25">
      <c r="A94" s="574" t="s">
        <v>1282</v>
      </c>
      <c r="B94" s="169"/>
      <c r="C94" s="748"/>
      <c r="D94" s="753"/>
      <c r="E94" s="733"/>
      <c r="F94" s="733"/>
      <c r="G94" s="733"/>
      <c r="H94" s="733"/>
      <c r="I94" s="44">
        <f t="shared" si="21"/>
        <v>0</v>
      </c>
      <c r="J94" s="124" t="str">
        <f t="shared" si="22"/>
        <v/>
      </c>
      <c r="K94" s="735"/>
    </row>
    <row r="95" spans="1:11" ht="12.75" customHeight="1" x14ac:dyDescent="0.25">
      <c r="A95" s="574" t="s">
        <v>440</v>
      </c>
      <c r="B95" s="169"/>
      <c r="C95" s="748"/>
      <c r="D95" s="753"/>
      <c r="E95" s="733"/>
      <c r="F95" s="733"/>
      <c r="G95" s="733"/>
      <c r="H95" s="733"/>
      <c r="I95" s="44">
        <f t="shared" si="21"/>
        <v>0</v>
      </c>
      <c r="J95" s="124" t="str">
        <f t="shared" si="22"/>
        <v/>
      </c>
      <c r="K95" s="735"/>
    </row>
    <row r="96" spans="1:11" ht="12.75" customHeight="1" x14ac:dyDescent="0.25">
      <c r="A96" s="574" t="s">
        <v>1283</v>
      </c>
      <c r="B96" s="169"/>
      <c r="C96" s="748"/>
      <c r="D96" s="753"/>
      <c r="E96" s="733"/>
      <c r="F96" s="733"/>
      <c r="G96" s="733"/>
      <c r="H96" s="733"/>
      <c r="I96" s="44">
        <f t="shared" si="21"/>
        <v>0</v>
      </c>
      <c r="J96" s="124" t="str">
        <f t="shared" si="22"/>
        <v/>
      </c>
      <c r="K96" s="735"/>
    </row>
    <row r="97" spans="1:11" ht="12.75" customHeight="1" x14ac:dyDescent="0.25">
      <c r="A97" s="574" t="s">
        <v>1284</v>
      </c>
      <c r="B97" s="169"/>
      <c r="C97" s="748"/>
      <c r="D97" s="753"/>
      <c r="E97" s="733"/>
      <c r="F97" s="733"/>
      <c r="G97" s="733"/>
      <c r="H97" s="733"/>
      <c r="I97" s="44">
        <f t="shared" si="21"/>
        <v>0</v>
      </c>
      <c r="J97" s="124" t="str">
        <f t="shared" si="22"/>
        <v/>
      </c>
      <c r="K97" s="735"/>
    </row>
    <row r="98" spans="1:11" ht="12.75" customHeight="1" x14ac:dyDescent="0.25">
      <c r="A98" s="574" t="s">
        <v>1219</v>
      </c>
      <c r="B98" s="169"/>
      <c r="C98" s="748"/>
      <c r="D98" s="753"/>
      <c r="E98" s="733"/>
      <c r="F98" s="733"/>
      <c r="G98" s="733"/>
      <c r="H98" s="733"/>
      <c r="I98" s="44">
        <f t="shared" si="21"/>
        <v>0</v>
      </c>
      <c r="J98" s="124" t="str">
        <f t="shared" si="22"/>
        <v/>
      </c>
      <c r="K98" s="735"/>
    </row>
    <row r="99" spans="1:11" ht="12.75" customHeight="1" x14ac:dyDescent="0.25">
      <c r="A99" s="518" t="s">
        <v>1285</v>
      </c>
      <c r="B99" s="169"/>
      <c r="C99" s="648">
        <f t="shared" ref="C99:H99" si="23">SUM(C100:C102)</f>
        <v>0</v>
      </c>
      <c r="D99" s="649">
        <f t="shared" si="23"/>
        <v>0</v>
      </c>
      <c r="E99" s="408">
        <f t="shared" si="23"/>
        <v>0</v>
      </c>
      <c r="F99" s="408">
        <f t="shared" si="23"/>
        <v>0</v>
      </c>
      <c r="G99" s="408">
        <f t="shared" si="23"/>
        <v>0</v>
      </c>
      <c r="H99" s="408">
        <f t="shared" si="23"/>
        <v>0</v>
      </c>
      <c r="I99" s="258">
        <f t="shared" si="21"/>
        <v>0</v>
      </c>
      <c r="J99" s="575" t="str">
        <f t="shared" si="22"/>
        <v/>
      </c>
      <c r="K99" s="642">
        <f>SUM(K100:K102)</f>
        <v>0</v>
      </c>
    </row>
    <row r="100" spans="1:11" ht="12.75" customHeight="1" x14ac:dyDescent="0.25">
      <c r="A100" s="574" t="s">
        <v>1286</v>
      </c>
      <c r="B100" s="169"/>
      <c r="C100" s="748"/>
      <c r="D100" s="753"/>
      <c r="E100" s="733"/>
      <c r="F100" s="733"/>
      <c r="G100" s="733"/>
      <c r="H100" s="733"/>
      <c r="I100" s="44">
        <f t="shared" si="21"/>
        <v>0</v>
      </c>
      <c r="J100" s="124" t="str">
        <f t="shared" si="22"/>
        <v/>
      </c>
      <c r="K100" s="735"/>
    </row>
    <row r="101" spans="1:11" ht="12.75" customHeight="1" x14ac:dyDescent="0.25">
      <c r="A101" s="574" t="s">
        <v>1287</v>
      </c>
      <c r="B101" s="169"/>
      <c r="C101" s="748"/>
      <c r="D101" s="753"/>
      <c r="E101" s="733"/>
      <c r="F101" s="733"/>
      <c r="G101" s="733"/>
      <c r="H101" s="733"/>
      <c r="I101" s="44">
        <f t="shared" si="21"/>
        <v>0</v>
      </c>
      <c r="J101" s="124" t="str">
        <f t="shared" si="22"/>
        <v/>
      </c>
      <c r="K101" s="735"/>
    </row>
    <row r="102" spans="1:11" ht="12.75" customHeight="1" x14ac:dyDescent="0.25">
      <c r="A102" s="574" t="s">
        <v>1219</v>
      </c>
      <c r="B102" s="169"/>
      <c r="C102" s="748"/>
      <c r="D102" s="753"/>
      <c r="E102" s="733"/>
      <c r="F102" s="733"/>
      <c r="G102" s="733"/>
      <c r="H102" s="733"/>
      <c r="I102" s="44">
        <f t="shared" si="21"/>
        <v>0</v>
      </c>
      <c r="J102" s="124" t="str">
        <f t="shared" si="22"/>
        <v/>
      </c>
      <c r="K102" s="735"/>
    </row>
    <row r="103" spans="1:11" ht="12.75" customHeight="1" x14ac:dyDescent="0.25">
      <c r="A103" s="549" t="s">
        <v>670</v>
      </c>
      <c r="B103" s="169"/>
      <c r="C103" s="249">
        <f t="shared" ref="C103:H103" si="24">SUM(C104:C108)</f>
        <v>0</v>
      </c>
      <c r="D103" s="264">
        <f t="shared" si="24"/>
        <v>33918752.691165708</v>
      </c>
      <c r="E103" s="99">
        <f t="shared" si="24"/>
        <v>32018752.691165708</v>
      </c>
      <c r="F103" s="99">
        <f t="shared" si="24"/>
        <v>0</v>
      </c>
      <c r="G103" s="99">
        <f t="shared" si="24"/>
        <v>182935.28</v>
      </c>
      <c r="H103" s="99">
        <f t="shared" si="24"/>
        <v>16009376.345582854</v>
      </c>
      <c r="I103" s="99">
        <f t="shared" si="21"/>
        <v>15826441.065582855</v>
      </c>
      <c r="J103" s="324">
        <f t="shared" si="22"/>
        <v>0.98857324132738789</v>
      </c>
      <c r="K103" s="195">
        <f>SUM(K104:K108)</f>
        <v>32018752.691165708</v>
      </c>
    </row>
    <row r="104" spans="1:11" ht="12.75" customHeight="1" x14ac:dyDescent="0.25">
      <c r="A104" s="518" t="s">
        <v>1289</v>
      </c>
      <c r="B104" s="169"/>
      <c r="C104" s="786"/>
      <c r="D104" s="753"/>
      <c r="E104" s="733"/>
      <c r="F104" s="733"/>
      <c r="G104" s="733"/>
      <c r="H104" s="733"/>
      <c r="I104" s="44">
        <f t="shared" si="21"/>
        <v>0</v>
      </c>
      <c r="J104" s="124" t="str">
        <f t="shared" si="22"/>
        <v/>
      </c>
      <c r="K104" s="735"/>
    </row>
    <row r="105" spans="1:11" ht="12.75" customHeight="1" x14ac:dyDescent="0.25">
      <c r="A105" s="517" t="s">
        <v>1290</v>
      </c>
      <c r="B105" s="169"/>
      <c r="C105" s="786"/>
      <c r="D105" s="753"/>
      <c r="E105" s="733"/>
      <c r="F105" s="733"/>
      <c r="G105" s="733"/>
      <c r="H105" s="733"/>
      <c r="I105" s="44">
        <f t="shared" si="21"/>
        <v>0</v>
      </c>
      <c r="J105" s="124" t="str">
        <f t="shared" si="22"/>
        <v/>
      </c>
      <c r="K105" s="735"/>
    </row>
    <row r="106" spans="1:11" ht="12.75" customHeight="1" x14ac:dyDescent="0.25">
      <c r="A106" s="518" t="s">
        <v>1291</v>
      </c>
      <c r="B106" s="169"/>
      <c r="C106" s="786"/>
      <c r="D106" s="753"/>
      <c r="E106" s="733"/>
      <c r="F106" s="733"/>
      <c r="G106" s="733"/>
      <c r="H106" s="733"/>
      <c r="I106" s="44">
        <f t="shared" si="21"/>
        <v>0</v>
      </c>
      <c r="J106" s="124" t="str">
        <f t="shared" si="22"/>
        <v/>
      </c>
      <c r="K106" s="735"/>
    </row>
    <row r="107" spans="1:11" ht="12.75" customHeight="1" x14ac:dyDescent="0.25">
      <c r="A107" s="518" t="s">
        <v>1292</v>
      </c>
      <c r="B107" s="169"/>
      <c r="C107" s="786"/>
      <c r="D107" s="753"/>
      <c r="E107" s="733"/>
      <c r="F107" s="733"/>
      <c r="G107" s="733"/>
      <c r="H107" s="733"/>
      <c r="I107" s="44">
        <f t="shared" si="21"/>
        <v>0</v>
      </c>
      <c r="J107" s="124" t="str">
        <f t="shared" si="22"/>
        <v/>
      </c>
      <c r="K107" s="735"/>
    </row>
    <row r="108" spans="1:11" ht="12.75" customHeight="1" x14ac:dyDescent="0.25">
      <c r="A108" s="517" t="s">
        <v>1293</v>
      </c>
      <c r="B108" s="169"/>
      <c r="C108" s="786"/>
      <c r="D108" s="753">
        <v>33918752.691165708</v>
      </c>
      <c r="E108" s="733">
        <v>32018752.691165708</v>
      </c>
      <c r="F108" s="733"/>
      <c r="G108" s="733">
        <v>182935.28</v>
      </c>
      <c r="H108" s="733">
        <f>E108/12*6</f>
        <v>16009376.345582854</v>
      </c>
      <c r="I108" s="44">
        <f t="shared" si="21"/>
        <v>15826441.065582855</v>
      </c>
      <c r="J108" s="124">
        <f t="shared" si="22"/>
        <v>0.98857324132738789</v>
      </c>
      <c r="K108" s="735">
        <f>E108</f>
        <v>32018752.691165708</v>
      </c>
    </row>
    <row r="109" spans="1:11" ht="5.0999999999999996" customHeight="1" x14ac:dyDescent="0.25">
      <c r="A109" s="938"/>
      <c r="B109" s="169"/>
      <c r="C109" s="134"/>
      <c r="D109" s="258"/>
      <c r="E109" s="44"/>
      <c r="F109" s="44"/>
      <c r="G109" s="44"/>
      <c r="H109" s="44"/>
      <c r="I109" s="44">
        <f t="shared" si="21"/>
        <v>0</v>
      </c>
      <c r="J109" s="124" t="str">
        <f t="shared" si="22"/>
        <v/>
      </c>
      <c r="K109" s="144"/>
    </row>
    <row r="110" spans="1:11" ht="12.75" customHeight="1" x14ac:dyDescent="0.25">
      <c r="A110" s="939" t="s">
        <v>671</v>
      </c>
      <c r="B110" s="38"/>
      <c r="C110" s="576">
        <f t="shared" ref="C110:H110" si="25">+C111+C114</f>
        <v>0</v>
      </c>
      <c r="D110" s="577">
        <f t="shared" si="25"/>
        <v>0</v>
      </c>
      <c r="E110" s="578">
        <f t="shared" si="25"/>
        <v>0</v>
      </c>
      <c r="F110" s="578">
        <f t="shared" si="25"/>
        <v>0</v>
      </c>
      <c r="G110" s="578">
        <f t="shared" si="25"/>
        <v>0</v>
      </c>
      <c r="H110" s="578">
        <f t="shared" si="25"/>
        <v>0</v>
      </c>
      <c r="I110" s="99">
        <f t="shared" si="21"/>
        <v>0</v>
      </c>
      <c r="J110" s="324" t="str">
        <f t="shared" si="22"/>
        <v/>
      </c>
      <c r="K110" s="580">
        <f>+K111+K114</f>
        <v>0</v>
      </c>
    </row>
    <row r="111" spans="1:11" ht="12.75" customHeight="1" x14ac:dyDescent="0.25">
      <c r="A111" s="518" t="s">
        <v>1294</v>
      </c>
      <c r="B111" s="169"/>
      <c r="C111" s="648">
        <f t="shared" ref="C111:H111" si="26">SUM(C112:C113)</f>
        <v>0</v>
      </c>
      <c r="D111" s="649">
        <f t="shared" si="26"/>
        <v>0</v>
      </c>
      <c r="E111" s="408">
        <f t="shared" si="26"/>
        <v>0</v>
      </c>
      <c r="F111" s="408">
        <f t="shared" si="26"/>
        <v>0</v>
      </c>
      <c r="G111" s="408">
        <f t="shared" si="26"/>
        <v>0</v>
      </c>
      <c r="H111" s="408">
        <f t="shared" si="26"/>
        <v>0</v>
      </c>
      <c r="I111" s="258">
        <f t="shared" si="21"/>
        <v>0</v>
      </c>
      <c r="J111" s="575" t="str">
        <f t="shared" si="22"/>
        <v/>
      </c>
      <c r="K111" s="642">
        <f>SUM(K112:K113)</f>
        <v>0</v>
      </c>
    </row>
    <row r="112" spans="1:11" ht="12.75" customHeight="1" x14ac:dyDescent="0.25">
      <c r="A112" s="574" t="s">
        <v>1295</v>
      </c>
      <c r="B112" s="169"/>
      <c r="C112" s="748"/>
      <c r="D112" s="753"/>
      <c r="E112" s="733"/>
      <c r="F112" s="733"/>
      <c r="G112" s="733"/>
      <c r="H112" s="733"/>
      <c r="I112" s="44">
        <f t="shared" si="21"/>
        <v>0</v>
      </c>
      <c r="J112" s="124" t="str">
        <f t="shared" si="22"/>
        <v/>
      </c>
      <c r="K112" s="735"/>
    </row>
    <row r="113" spans="1:11" ht="12.75" customHeight="1" x14ac:dyDescent="0.25">
      <c r="A113" s="574" t="s">
        <v>1296</v>
      </c>
      <c r="B113" s="169"/>
      <c r="C113" s="748"/>
      <c r="D113" s="753"/>
      <c r="E113" s="733"/>
      <c r="F113" s="733"/>
      <c r="G113" s="733"/>
      <c r="H113" s="733"/>
      <c r="I113" s="44">
        <f t="shared" si="21"/>
        <v>0</v>
      </c>
      <c r="J113" s="124" t="str">
        <f t="shared" si="22"/>
        <v/>
      </c>
      <c r="K113" s="735"/>
    </row>
    <row r="114" spans="1:11" ht="12.75" customHeight="1" x14ac:dyDescent="0.25">
      <c r="A114" s="518" t="s">
        <v>1297</v>
      </c>
      <c r="B114" s="169"/>
      <c r="C114" s="648">
        <f t="shared" ref="C114:H114" si="27">SUM(C115:C116)</f>
        <v>0</v>
      </c>
      <c r="D114" s="649">
        <f t="shared" si="27"/>
        <v>0</v>
      </c>
      <c r="E114" s="408">
        <f t="shared" si="27"/>
        <v>0</v>
      </c>
      <c r="F114" s="408">
        <f t="shared" si="27"/>
        <v>0</v>
      </c>
      <c r="G114" s="408">
        <f t="shared" si="27"/>
        <v>0</v>
      </c>
      <c r="H114" s="408">
        <f t="shared" si="27"/>
        <v>0</v>
      </c>
      <c r="I114" s="258">
        <f t="shared" si="21"/>
        <v>0</v>
      </c>
      <c r="J114" s="575" t="str">
        <f t="shared" si="22"/>
        <v/>
      </c>
      <c r="K114" s="642">
        <f>SUM(K115:K116)</f>
        <v>0</v>
      </c>
    </row>
    <row r="115" spans="1:11" ht="12.75" customHeight="1" x14ac:dyDescent="0.25">
      <c r="A115" s="574" t="s">
        <v>1295</v>
      </c>
      <c r="B115" s="169"/>
      <c r="C115" s="748"/>
      <c r="D115" s="753"/>
      <c r="E115" s="733"/>
      <c r="F115" s="733"/>
      <c r="G115" s="733"/>
      <c r="H115" s="733"/>
      <c r="I115" s="44">
        <f t="shared" si="21"/>
        <v>0</v>
      </c>
      <c r="J115" s="124" t="str">
        <f t="shared" si="22"/>
        <v/>
      </c>
      <c r="K115" s="735"/>
    </row>
    <row r="116" spans="1:11" ht="12.75" customHeight="1" x14ac:dyDescent="0.25">
      <c r="A116" s="574" t="s">
        <v>1296</v>
      </c>
      <c r="B116" s="169"/>
      <c r="C116" s="748"/>
      <c r="D116" s="753"/>
      <c r="E116" s="733"/>
      <c r="F116" s="733"/>
      <c r="G116" s="733"/>
      <c r="H116" s="733"/>
      <c r="I116" s="44">
        <f t="shared" si="21"/>
        <v>0</v>
      </c>
      <c r="J116" s="124" t="str">
        <f t="shared" si="22"/>
        <v/>
      </c>
      <c r="K116" s="735"/>
    </row>
    <row r="117" spans="1:11" ht="12.75" customHeight="1" x14ac:dyDescent="0.25">
      <c r="A117" s="939" t="s">
        <v>672</v>
      </c>
      <c r="B117" s="169"/>
      <c r="C117" s="576">
        <f t="shared" ref="C117:H117" si="28">+C118+C130</f>
        <v>0</v>
      </c>
      <c r="D117" s="577">
        <f t="shared" si="28"/>
        <v>3800000</v>
      </c>
      <c r="E117" s="578">
        <f t="shared" si="28"/>
        <v>3800000</v>
      </c>
      <c r="F117" s="578">
        <f t="shared" si="28"/>
        <v>3842840.3000000003</v>
      </c>
      <c r="G117" s="578">
        <f t="shared" si="28"/>
        <v>27573415.940000001</v>
      </c>
      <c r="H117" s="578">
        <f t="shared" si="28"/>
        <v>1900000</v>
      </c>
      <c r="I117" s="578">
        <f t="shared" si="21"/>
        <v>-25673415.940000001</v>
      </c>
      <c r="J117" s="579">
        <f t="shared" si="22"/>
        <v>-13.512324178947368</v>
      </c>
      <c r="K117" s="580">
        <f>+K118+K130</f>
        <v>3800000</v>
      </c>
    </row>
    <row r="118" spans="1:11" ht="12.75" customHeight="1" x14ac:dyDescent="0.25">
      <c r="A118" s="518" t="s">
        <v>1298</v>
      </c>
      <c r="B118" s="169"/>
      <c r="C118" s="648">
        <f t="shared" ref="C118:H118" si="29">SUM(C119:C129)</f>
        <v>0</v>
      </c>
      <c r="D118" s="649">
        <f t="shared" si="29"/>
        <v>3800000</v>
      </c>
      <c r="E118" s="408">
        <f t="shared" si="29"/>
        <v>3800000</v>
      </c>
      <c r="F118" s="408">
        <f t="shared" si="29"/>
        <v>0</v>
      </c>
      <c r="G118" s="408">
        <f t="shared" si="29"/>
        <v>0</v>
      </c>
      <c r="H118" s="408">
        <f t="shared" si="29"/>
        <v>1900000</v>
      </c>
      <c r="I118" s="258">
        <f t="shared" si="21"/>
        <v>1900000</v>
      </c>
      <c r="J118" s="575">
        <f t="shared" si="22"/>
        <v>1</v>
      </c>
      <c r="K118" s="642">
        <f>SUM(K119:K129)</f>
        <v>3800000</v>
      </c>
    </row>
    <row r="119" spans="1:11" ht="12.75" customHeight="1" x14ac:dyDescent="0.25">
      <c r="A119" s="574" t="s">
        <v>1299</v>
      </c>
      <c r="B119" s="169"/>
      <c r="C119" s="748"/>
      <c r="D119" s="753">
        <v>3800000</v>
      </c>
      <c r="E119" s="733">
        <v>3800000</v>
      </c>
      <c r="F119" s="733"/>
      <c r="G119" s="733"/>
      <c r="H119" s="733">
        <f>E119/12*6</f>
        <v>1900000</v>
      </c>
      <c r="I119" s="44">
        <f t="shared" si="21"/>
        <v>1900000</v>
      </c>
      <c r="J119" s="124">
        <f t="shared" si="22"/>
        <v>1</v>
      </c>
      <c r="K119" s="735">
        <f>E119</f>
        <v>3800000</v>
      </c>
    </row>
    <row r="120" spans="1:11" ht="12.75" customHeight="1" x14ac:dyDescent="0.25">
      <c r="A120" s="574" t="s">
        <v>1300</v>
      </c>
      <c r="B120" s="169"/>
      <c r="C120" s="748"/>
      <c r="D120" s="753"/>
      <c r="E120" s="733"/>
      <c r="F120" s="733"/>
      <c r="G120" s="733"/>
      <c r="H120" s="733"/>
      <c r="I120" s="44">
        <f t="shared" si="21"/>
        <v>0</v>
      </c>
      <c r="J120" s="124" t="str">
        <f t="shared" ref="J120:J146" si="30">IF(I120=0,"",I120/H120)</f>
        <v/>
      </c>
      <c r="K120" s="735"/>
    </row>
    <row r="121" spans="1:11" ht="12.75" customHeight="1" x14ac:dyDescent="0.25">
      <c r="A121" s="574" t="s">
        <v>1301</v>
      </c>
      <c r="B121" s="169"/>
      <c r="C121" s="748"/>
      <c r="D121" s="753"/>
      <c r="E121" s="733"/>
      <c r="F121" s="733"/>
      <c r="G121" s="733"/>
      <c r="H121" s="733"/>
      <c r="I121" s="44">
        <f t="shared" si="21"/>
        <v>0</v>
      </c>
      <c r="J121" s="124" t="str">
        <f t="shared" si="30"/>
        <v/>
      </c>
      <c r="K121" s="735"/>
    </row>
    <row r="122" spans="1:11" ht="12.75" customHeight="1" x14ac:dyDescent="0.25">
      <c r="A122" s="574" t="s">
        <v>1302</v>
      </c>
      <c r="B122" s="169"/>
      <c r="C122" s="748"/>
      <c r="D122" s="753"/>
      <c r="E122" s="733"/>
      <c r="F122" s="733"/>
      <c r="G122" s="733"/>
      <c r="H122" s="733"/>
      <c r="I122" s="44">
        <f t="shared" si="21"/>
        <v>0</v>
      </c>
      <c r="J122" s="124" t="str">
        <f t="shared" si="30"/>
        <v/>
      </c>
      <c r="K122" s="735"/>
    </row>
    <row r="123" spans="1:11" ht="12.75" customHeight="1" x14ac:dyDescent="0.25">
      <c r="A123" s="574" t="s">
        <v>1303</v>
      </c>
      <c r="B123" s="169"/>
      <c r="C123" s="748"/>
      <c r="D123" s="753"/>
      <c r="E123" s="733"/>
      <c r="F123" s="733"/>
      <c r="G123" s="733"/>
      <c r="H123" s="733"/>
      <c r="I123" s="44">
        <f t="shared" si="21"/>
        <v>0</v>
      </c>
      <c r="J123" s="124" t="str">
        <f t="shared" si="30"/>
        <v/>
      </c>
      <c r="K123" s="735"/>
    </row>
    <row r="124" spans="1:11" ht="12.75" customHeight="1" x14ac:dyDescent="0.25">
      <c r="A124" s="574" t="s">
        <v>1304</v>
      </c>
      <c r="B124" s="169"/>
      <c r="C124" s="748"/>
      <c r="D124" s="753"/>
      <c r="E124" s="733"/>
      <c r="F124" s="733"/>
      <c r="G124" s="733"/>
      <c r="H124" s="733"/>
      <c r="I124" s="44">
        <f t="shared" si="21"/>
        <v>0</v>
      </c>
      <c r="J124" s="124" t="str">
        <f t="shared" si="30"/>
        <v/>
      </c>
      <c r="K124" s="735"/>
    </row>
    <row r="125" spans="1:11" ht="12.75" customHeight="1" x14ac:dyDescent="0.25">
      <c r="A125" s="574" t="s">
        <v>1305</v>
      </c>
      <c r="B125" s="169"/>
      <c r="C125" s="748"/>
      <c r="D125" s="753"/>
      <c r="E125" s="733"/>
      <c r="F125" s="733"/>
      <c r="G125" s="733"/>
      <c r="H125" s="733"/>
      <c r="I125" s="44">
        <f t="shared" si="21"/>
        <v>0</v>
      </c>
      <c r="J125" s="124" t="str">
        <f t="shared" si="30"/>
        <v/>
      </c>
      <c r="K125" s="735"/>
    </row>
    <row r="126" spans="1:11" ht="12.75" customHeight="1" x14ac:dyDescent="0.25">
      <c r="A126" s="574" t="s">
        <v>1306</v>
      </c>
      <c r="B126" s="169"/>
      <c r="C126" s="748"/>
      <c r="D126" s="753"/>
      <c r="E126" s="733"/>
      <c r="F126" s="733"/>
      <c r="G126" s="733"/>
      <c r="H126" s="733"/>
      <c r="I126" s="44">
        <f t="shared" si="21"/>
        <v>0</v>
      </c>
      <c r="J126" s="124" t="str">
        <f t="shared" si="30"/>
        <v/>
      </c>
      <c r="K126" s="735"/>
    </row>
    <row r="127" spans="1:11" ht="12.75" customHeight="1" x14ac:dyDescent="0.25">
      <c r="A127" s="574" t="s">
        <v>1307</v>
      </c>
      <c r="B127" s="169"/>
      <c r="C127" s="748"/>
      <c r="D127" s="753"/>
      <c r="E127" s="733"/>
      <c r="F127" s="733"/>
      <c r="G127" s="733"/>
      <c r="H127" s="733"/>
      <c r="I127" s="44">
        <f t="shared" si="21"/>
        <v>0</v>
      </c>
      <c r="J127" s="124" t="str">
        <f t="shared" si="30"/>
        <v/>
      </c>
      <c r="K127" s="735"/>
    </row>
    <row r="128" spans="1:11" ht="12.75" customHeight="1" x14ac:dyDescent="0.25">
      <c r="A128" s="574" t="s">
        <v>1308</v>
      </c>
      <c r="B128" s="169"/>
      <c r="C128" s="748"/>
      <c r="D128" s="753"/>
      <c r="E128" s="733"/>
      <c r="F128" s="733"/>
      <c r="G128" s="733"/>
      <c r="H128" s="733"/>
      <c r="I128" s="44">
        <f t="shared" si="21"/>
        <v>0</v>
      </c>
      <c r="J128" s="124" t="str">
        <f t="shared" si="30"/>
        <v/>
      </c>
      <c r="K128" s="735"/>
    </row>
    <row r="129" spans="1:11" ht="12.75" customHeight="1" x14ac:dyDescent="0.25">
      <c r="A129" s="574" t="s">
        <v>1219</v>
      </c>
      <c r="B129" s="169"/>
      <c r="C129" s="748"/>
      <c r="D129" s="753"/>
      <c r="E129" s="733"/>
      <c r="F129" s="733"/>
      <c r="G129" s="733"/>
      <c r="H129" s="733"/>
      <c r="I129" s="44">
        <f t="shared" si="21"/>
        <v>0</v>
      </c>
      <c r="J129" s="124" t="str">
        <f t="shared" si="30"/>
        <v/>
      </c>
      <c r="K129" s="735"/>
    </row>
    <row r="130" spans="1:11" ht="12.75" customHeight="1" x14ac:dyDescent="0.25">
      <c r="A130" s="518" t="s">
        <v>711</v>
      </c>
      <c r="B130" s="169"/>
      <c r="C130" s="648">
        <f t="shared" ref="C130:H130" si="31">SUM(C131:C133)</f>
        <v>0</v>
      </c>
      <c r="D130" s="649">
        <f t="shared" si="31"/>
        <v>0</v>
      </c>
      <c r="E130" s="408">
        <f t="shared" si="31"/>
        <v>0</v>
      </c>
      <c r="F130" s="408">
        <f t="shared" si="31"/>
        <v>3842840.3000000003</v>
      </c>
      <c r="G130" s="408">
        <f t="shared" si="31"/>
        <v>27573415.940000001</v>
      </c>
      <c r="H130" s="408">
        <f t="shared" si="31"/>
        <v>0</v>
      </c>
      <c r="I130" s="258">
        <f t="shared" si="21"/>
        <v>-27573415.940000001</v>
      </c>
      <c r="J130" s="575" t="e">
        <f t="shared" si="30"/>
        <v>#DIV/0!</v>
      </c>
      <c r="K130" s="642">
        <f>SUM(K131:K133)</f>
        <v>0</v>
      </c>
    </row>
    <row r="131" spans="1:11" ht="12.75" customHeight="1" x14ac:dyDescent="0.25">
      <c r="A131" s="574" t="s">
        <v>1309</v>
      </c>
      <c r="B131" s="169"/>
      <c r="C131" s="748"/>
      <c r="D131" s="753"/>
      <c r="E131" s="733"/>
      <c r="F131" s="733"/>
      <c r="G131" s="733"/>
      <c r="H131" s="733"/>
      <c r="I131" s="44">
        <f t="shared" si="21"/>
        <v>0</v>
      </c>
      <c r="J131" s="124" t="str">
        <f t="shared" si="30"/>
        <v/>
      </c>
      <c r="K131" s="735"/>
    </row>
    <row r="132" spans="1:11" ht="12.75" customHeight="1" x14ac:dyDescent="0.25">
      <c r="A132" s="574" t="s">
        <v>1310</v>
      </c>
      <c r="B132" s="169"/>
      <c r="C132" s="748"/>
      <c r="D132" s="753"/>
      <c r="E132" s="733"/>
      <c r="F132" s="733">
        <v>3842840.3000000003</v>
      </c>
      <c r="G132" s="733">
        <v>27573415.940000001</v>
      </c>
      <c r="H132" s="733"/>
      <c r="I132" s="44">
        <f t="shared" si="21"/>
        <v>-27573415.940000001</v>
      </c>
      <c r="J132" s="124" t="e">
        <f t="shared" si="30"/>
        <v>#DIV/0!</v>
      </c>
      <c r="K132" s="735"/>
    </row>
    <row r="133" spans="1:11" ht="12.75" customHeight="1" x14ac:dyDescent="0.25">
      <c r="A133" s="574" t="s">
        <v>1219</v>
      </c>
      <c r="B133" s="169"/>
      <c r="C133" s="748"/>
      <c r="D133" s="753"/>
      <c r="E133" s="733"/>
      <c r="F133" s="733"/>
      <c r="G133" s="733"/>
      <c r="H133" s="733"/>
      <c r="I133" s="44">
        <f t="shared" si="21"/>
        <v>0</v>
      </c>
      <c r="J133" s="124" t="str">
        <f t="shared" si="30"/>
        <v/>
      </c>
      <c r="K133" s="735"/>
    </row>
    <row r="134" spans="1:11" ht="5.0999999999999996" customHeight="1" x14ac:dyDescent="0.25">
      <c r="A134" s="39"/>
      <c r="B134" s="169"/>
      <c r="C134" s="134"/>
      <c r="D134" s="258"/>
      <c r="E134" s="44"/>
      <c r="F134" s="44"/>
      <c r="G134" s="44"/>
      <c r="H134" s="44"/>
      <c r="I134" s="44"/>
      <c r="J134" s="124" t="str">
        <f t="shared" si="30"/>
        <v/>
      </c>
      <c r="K134" s="144"/>
    </row>
    <row r="135" spans="1:11" ht="12.75" customHeight="1" x14ac:dyDescent="0.25">
      <c r="A135" s="549" t="s">
        <v>1311</v>
      </c>
      <c r="B135" s="169"/>
      <c r="C135" s="576">
        <f t="shared" ref="C135:H135" si="32">SUM(C136:C136)</f>
        <v>0</v>
      </c>
      <c r="D135" s="577">
        <f t="shared" si="32"/>
        <v>0</v>
      </c>
      <c r="E135" s="578">
        <f t="shared" si="32"/>
        <v>0</v>
      </c>
      <c r="F135" s="578">
        <f t="shared" si="32"/>
        <v>0</v>
      </c>
      <c r="G135" s="578">
        <f t="shared" si="32"/>
        <v>0</v>
      </c>
      <c r="H135" s="578">
        <f t="shared" si="32"/>
        <v>0</v>
      </c>
      <c r="I135" s="578">
        <f>H135-G135</f>
        <v>0</v>
      </c>
      <c r="J135" s="324" t="str">
        <f t="shared" si="30"/>
        <v/>
      </c>
      <c r="K135" s="580">
        <f>SUM(K136)</f>
        <v>0</v>
      </c>
    </row>
    <row r="136" spans="1:11" ht="12.75" customHeight="1" x14ac:dyDescent="0.25">
      <c r="A136" s="518" t="s">
        <v>1311</v>
      </c>
      <c r="B136" s="169"/>
      <c r="C136" s="748"/>
      <c r="D136" s="753"/>
      <c r="E136" s="733"/>
      <c r="F136" s="733"/>
      <c r="G136" s="733"/>
      <c r="H136" s="733"/>
      <c r="I136" s="44">
        <f>H136-G136</f>
        <v>0</v>
      </c>
      <c r="J136" s="124" t="str">
        <f t="shared" si="30"/>
        <v/>
      </c>
      <c r="K136" s="735"/>
    </row>
    <row r="137" spans="1:11" ht="5.0999999999999996" customHeight="1" x14ac:dyDescent="0.25">
      <c r="A137" s="548"/>
      <c r="B137" s="169"/>
      <c r="C137" s="134"/>
      <c r="D137" s="258"/>
      <c r="E137" s="44"/>
      <c r="F137" s="44"/>
      <c r="G137" s="44"/>
      <c r="H137" s="44"/>
      <c r="I137" s="44"/>
      <c r="J137" s="124" t="str">
        <f t="shared" si="30"/>
        <v/>
      </c>
      <c r="K137" s="144"/>
    </row>
    <row r="138" spans="1:11" s="100" customFormat="1" ht="12.75" customHeight="1" x14ac:dyDescent="0.25">
      <c r="A138" s="549" t="s">
        <v>1312</v>
      </c>
      <c r="B138" s="171"/>
      <c r="C138" s="940">
        <f t="shared" ref="C138:H138" si="33">SUM(C139:C140)</f>
        <v>0</v>
      </c>
      <c r="D138" s="941">
        <f t="shared" si="33"/>
        <v>46237276.472306006</v>
      </c>
      <c r="E138" s="942">
        <f t="shared" si="33"/>
        <v>46237276.472306006</v>
      </c>
      <c r="F138" s="942">
        <f t="shared" si="33"/>
        <v>0</v>
      </c>
      <c r="G138" s="942">
        <f t="shared" si="33"/>
        <v>0</v>
      </c>
      <c r="H138" s="942">
        <f t="shared" si="33"/>
        <v>23118638.236153003</v>
      </c>
      <c r="I138" s="942">
        <f t="shared" ref="I138:I146" si="34">H138-G138</f>
        <v>23118638.236153003</v>
      </c>
      <c r="J138" s="324">
        <f t="shared" si="30"/>
        <v>1</v>
      </c>
      <c r="K138" s="943">
        <f>SUM(K139:K140)</f>
        <v>46237276.472306006</v>
      </c>
    </row>
    <row r="139" spans="1:11" ht="12.75" customHeight="1" x14ac:dyDescent="0.25">
      <c r="A139" s="517" t="s">
        <v>1313</v>
      </c>
      <c r="B139" s="169"/>
      <c r="C139" s="748"/>
      <c r="D139" s="753"/>
      <c r="E139" s="733"/>
      <c r="F139" s="733"/>
      <c r="G139" s="733"/>
      <c r="H139" s="733"/>
      <c r="I139" s="44">
        <f t="shared" si="34"/>
        <v>0</v>
      </c>
      <c r="J139" s="124" t="str">
        <f t="shared" si="30"/>
        <v/>
      </c>
      <c r="K139" s="735"/>
    </row>
    <row r="140" spans="1:11" ht="12.75" customHeight="1" x14ac:dyDescent="0.25">
      <c r="A140" s="517" t="s">
        <v>1314</v>
      </c>
      <c r="B140" s="169"/>
      <c r="C140" s="648">
        <f t="shared" ref="C140:H140" si="35">SUM(C141:C146)</f>
        <v>0</v>
      </c>
      <c r="D140" s="649">
        <f t="shared" si="35"/>
        <v>46237276.472306006</v>
      </c>
      <c r="E140" s="408">
        <f t="shared" si="35"/>
        <v>46237276.472306006</v>
      </c>
      <c r="F140" s="408">
        <f t="shared" si="35"/>
        <v>0</v>
      </c>
      <c r="G140" s="408">
        <f t="shared" si="35"/>
        <v>0</v>
      </c>
      <c r="H140" s="408">
        <f t="shared" si="35"/>
        <v>23118638.236153003</v>
      </c>
      <c r="I140" s="258">
        <f t="shared" si="34"/>
        <v>23118638.236153003</v>
      </c>
      <c r="J140" s="575">
        <f t="shared" si="30"/>
        <v>1</v>
      </c>
      <c r="K140" s="642">
        <f>SUM(K141:K146)</f>
        <v>46237276.472306006</v>
      </c>
    </row>
    <row r="141" spans="1:11" ht="12.75" customHeight="1" x14ac:dyDescent="0.25">
      <c r="A141" s="574" t="s">
        <v>1315</v>
      </c>
      <c r="B141" s="169"/>
      <c r="C141" s="748"/>
      <c r="D141" s="753"/>
      <c r="E141" s="733"/>
      <c r="F141" s="733"/>
      <c r="G141" s="733"/>
      <c r="H141" s="733"/>
      <c r="I141" s="44">
        <f t="shared" si="34"/>
        <v>0</v>
      </c>
      <c r="J141" s="124" t="str">
        <f t="shared" si="30"/>
        <v/>
      </c>
      <c r="K141" s="735"/>
    </row>
    <row r="142" spans="1:11" ht="12.75" customHeight="1" x14ac:dyDescent="0.25">
      <c r="A142" s="574" t="s">
        <v>1316</v>
      </c>
      <c r="B142" s="169"/>
      <c r="C142" s="748"/>
      <c r="D142" s="753"/>
      <c r="E142" s="733"/>
      <c r="F142" s="733"/>
      <c r="G142" s="733"/>
      <c r="H142" s="733"/>
      <c r="I142" s="44">
        <f t="shared" si="34"/>
        <v>0</v>
      </c>
      <c r="J142" s="124" t="str">
        <f t="shared" si="30"/>
        <v/>
      </c>
      <c r="K142" s="735"/>
    </row>
    <row r="143" spans="1:11" ht="12.75" customHeight="1" x14ac:dyDescent="0.25">
      <c r="A143" s="574" t="s">
        <v>1317</v>
      </c>
      <c r="B143" s="169"/>
      <c r="C143" s="748"/>
      <c r="D143" s="753"/>
      <c r="E143" s="733"/>
      <c r="F143" s="733"/>
      <c r="G143" s="733"/>
      <c r="H143" s="733"/>
      <c r="I143" s="44">
        <f t="shared" si="34"/>
        <v>0</v>
      </c>
      <c r="J143" s="124" t="str">
        <f t="shared" si="30"/>
        <v/>
      </c>
      <c r="K143" s="735"/>
    </row>
    <row r="144" spans="1:11" ht="12.75" customHeight="1" x14ac:dyDescent="0.25">
      <c r="A144" s="574" t="s">
        <v>1318</v>
      </c>
      <c r="B144" s="169"/>
      <c r="C144" s="748"/>
      <c r="D144" s="753">
        <v>46237276.472306006</v>
      </c>
      <c r="E144" s="733">
        <v>46237276.472306006</v>
      </c>
      <c r="F144" s="733"/>
      <c r="G144" s="733"/>
      <c r="H144" s="733">
        <f>E144/12*6</f>
        <v>23118638.236153003</v>
      </c>
      <c r="I144" s="44">
        <f t="shared" si="34"/>
        <v>23118638.236153003</v>
      </c>
      <c r="J144" s="124">
        <f t="shared" si="30"/>
        <v>1</v>
      </c>
      <c r="K144" s="735">
        <f>E144</f>
        <v>46237276.472306006</v>
      </c>
    </row>
    <row r="145" spans="1:12" ht="12.75" customHeight="1" x14ac:dyDescent="0.25">
      <c r="A145" s="574" t="s">
        <v>1319</v>
      </c>
      <c r="B145" s="169"/>
      <c r="C145" s="748"/>
      <c r="D145" s="753"/>
      <c r="E145" s="733"/>
      <c r="F145" s="733"/>
      <c r="G145" s="733"/>
      <c r="H145" s="733"/>
      <c r="I145" s="44">
        <f t="shared" si="34"/>
        <v>0</v>
      </c>
      <c r="J145" s="124" t="str">
        <f t="shared" si="30"/>
        <v/>
      </c>
      <c r="K145" s="735"/>
    </row>
    <row r="146" spans="1:12" ht="12.75" customHeight="1" x14ac:dyDescent="0.25">
      <c r="A146" s="574" t="s">
        <v>1320</v>
      </c>
      <c r="B146" s="169"/>
      <c r="C146" s="748"/>
      <c r="D146" s="753"/>
      <c r="E146" s="733"/>
      <c r="F146" s="733"/>
      <c r="G146" s="733"/>
      <c r="H146" s="733"/>
      <c r="I146" s="44">
        <f t="shared" si="34"/>
        <v>0</v>
      </c>
      <c r="J146" s="124" t="str">
        <f t="shared" si="30"/>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36">SUM(C149:C149)</f>
        <v>0</v>
      </c>
      <c r="D148" s="577">
        <f t="shared" si="36"/>
        <v>30489488.019469682</v>
      </c>
      <c r="E148" s="578">
        <f t="shared" si="36"/>
        <v>30789488.019469682</v>
      </c>
      <c r="F148" s="578">
        <f t="shared" si="36"/>
        <v>156107.73000000001</v>
      </c>
      <c r="G148" s="578">
        <f t="shared" si="36"/>
        <v>2981753.59</v>
      </c>
      <c r="H148" s="578">
        <f t="shared" si="36"/>
        <v>15394744.009734843</v>
      </c>
      <c r="I148" s="578">
        <f>H148-G148</f>
        <v>12412990.419734843</v>
      </c>
      <c r="J148" s="324">
        <f>IF(I148=0,"",I148/H148)</f>
        <v>0.80631353219550173</v>
      </c>
      <c r="K148" s="580">
        <f>SUM(K149)</f>
        <v>30789488.019469682</v>
      </c>
    </row>
    <row r="149" spans="1:12" ht="12.75" customHeight="1" x14ac:dyDescent="0.25">
      <c r="A149" s="518" t="s">
        <v>1321</v>
      </c>
      <c r="B149" s="169"/>
      <c r="C149" s="748"/>
      <c r="D149" s="753">
        <v>30489488.019469682</v>
      </c>
      <c r="E149" s="733">
        <v>30789488.019469682</v>
      </c>
      <c r="F149" s="733">
        <v>156107.73000000001</v>
      </c>
      <c r="G149" s="733">
        <v>2981753.59</v>
      </c>
      <c r="H149" s="733">
        <f>E149/12*6</f>
        <v>15394744.009734843</v>
      </c>
      <c r="I149" s="44">
        <f>H149-G149</f>
        <v>12412990.419734843</v>
      </c>
      <c r="J149" s="124">
        <f>IF(I149=0,"",I149/H149)</f>
        <v>0.80631353219550173</v>
      </c>
      <c r="K149" s="735">
        <f>E149</f>
        <v>30789488.019469682</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37">SUM(C152:C152)</f>
        <v>0</v>
      </c>
      <c r="D151" s="577">
        <f t="shared" si="37"/>
        <v>26221102.404387362</v>
      </c>
      <c r="E151" s="578">
        <f t="shared" si="37"/>
        <v>27421102.404387362</v>
      </c>
      <c r="F151" s="578">
        <f t="shared" si="37"/>
        <v>170000</v>
      </c>
      <c r="G151" s="578">
        <f t="shared" si="37"/>
        <v>255388.76</v>
      </c>
      <c r="H151" s="578">
        <f t="shared" si="37"/>
        <v>13710551.202193681</v>
      </c>
      <c r="I151" s="578">
        <f>H151-G151</f>
        <v>13455162.442193681</v>
      </c>
      <c r="J151" s="324">
        <f>IF(I151=0,"",I151/H151)</f>
        <v>0.9813728305861884</v>
      </c>
      <c r="K151" s="580">
        <f>SUM(K152)</f>
        <v>27421102.404387362</v>
      </c>
    </row>
    <row r="152" spans="1:12" ht="12.75" customHeight="1" x14ac:dyDescent="0.25">
      <c r="A152" s="518" t="s">
        <v>1322</v>
      </c>
      <c r="B152" s="169"/>
      <c r="C152" s="748"/>
      <c r="D152" s="753">
        <v>26221102.404387362</v>
      </c>
      <c r="E152" s="733">
        <v>27421102.404387362</v>
      </c>
      <c r="F152" s="733">
        <v>170000</v>
      </c>
      <c r="G152" s="733">
        <v>255388.76</v>
      </c>
      <c r="H152" s="733">
        <f>E152/12*6</f>
        <v>13710551.202193681</v>
      </c>
      <c r="I152" s="44">
        <f>H152-G152</f>
        <v>13455162.442193681</v>
      </c>
      <c r="J152" s="124">
        <f>IF(I152=0,"",I152/H152)</f>
        <v>0.9813728305861884</v>
      </c>
      <c r="K152" s="735">
        <f>E152</f>
        <v>27421102.404387362</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38">SUM(C155:C155)</f>
        <v>0</v>
      </c>
      <c r="D154" s="577">
        <f t="shared" si="38"/>
        <v>34478166.653423235</v>
      </c>
      <c r="E154" s="578">
        <f t="shared" si="38"/>
        <v>37798166.653423235</v>
      </c>
      <c r="F154" s="578">
        <f t="shared" si="38"/>
        <v>648470</v>
      </c>
      <c r="G154" s="578">
        <f t="shared" si="38"/>
        <v>3137985.3000000073</v>
      </c>
      <c r="H154" s="578">
        <f t="shared" si="38"/>
        <v>18899083.326711617</v>
      </c>
      <c r="I154" s="578">
        <f>H154-G154</f>
        <v>15761098.026711609</v>
      </c>
      <c r="J154" s="324">
        <f>IF(I154=0,"",I154/H154)</f>
        <v>0.83396097864890428</v>
      </c>
      <c r="K154" s="580">
        <f>SUM(K155)</f>
        <v>37798166.653423235</v>
      </c>
    </row>
    <row r="155" spans="1:12" ht="12.75" customHeight="1" x14ac:dyDescent="0.25">
      <c r="A155" s="518" t="s">
        <v>1323</v>
      </c>
      <c r="B155" s="169"/>
      <c r="C155" s="748"/>
      <c r="D155" s="753">
        <v>34478166.653423235</v>
      </c>
      <c r="E155" s="733">
        <v>37798166.653423235</v>
      </c>
      <c r="F155" s="733">
        <v>648470</v>
      </c>
      <c r="G155" s="733">
        <v>3137985.3000000073</v>
      </c>
      <c r="H155" s="733">
        <f>E155/12*6</f>
        <v>18899083.326711617</v>
      </c>
      <c r="I155" s="44">
        <f>H155-G155</f>
        <v>15761098.026711609</v>
      </c>
      <c r="J155" s="124">
        <f>IF(I155=0,"",I155/H155)</f>
        <v>0.83396097864890428</v>
      </c>
      <c r="K155" s="735">
        <f>E155</f>
        <v>37798166.653423235</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9">SUM(C158:C158)</f>
        <v>0</v>
      </c>
      <c r="D157" s="577">
        <f t="shared" si="39"/>
        <v>0</v>
      </c>
      <c r="E157" s="578">
        <f t="shared" si="39"/>
        <v>10900000</v>
      </c>
      <c r="F157" s="578">
        <f t="shared" si="39"/>
        <v>0</v>
      </c>
      <c r="G157" s="578">
        <f t="shared" si="39"/>
        <v>6117365.3600000003</v>
      </c>
      <c r="H157" s="578">
        <f t="shared" si="39"/>
        <v>5450000</v>
      </c>
      <c r="I157" s="578">
        <f>H157-G157</f>
        <v>-667365.36000000034</v>
      </c>
      <c r="J157" s="324">
        <f>IF(I157=0,"",I157/H157)</f>
        <v>-0.12245235963302759</v>
      </c>
      <c r="K157" s="580">
        <f>SUM(K158)</f>
        <v>10900000</v>
      </c>
    </row>
    <row r="158" spans="1:12" ht="12.75" customHeight="1" x14ac:dyDescent="0.25">
      <c r="A158" s="518" t="s">
        <v>1324</v>
      </c>
      <c r="B158" s="169"/>
      <c r="C158" s="748"/>
      <c r="D158" s="753"/>
      <c r="E158" s="733">
        <v>10900000</v>
      </c>
      <c r="F158" s="733">
        <v>0</v>
      </c>
      <c r="G158" s="733">
        <v>6117365.3600000003</v>
      </c>
      <c r="H158" s="733">
        <f>E158/12*6</f>
        <v>5450000</v>
      </c>
      <c r="I158" s="44">
        <f>H158-G158</f>
        <v>-667365.36000000034</v>
      </c>
      <c r="J158" s="124">
        <f>IF(I158=0,"",I158/H158)</f>
        <v>-0.12245235963302759</v>
      </c>
      <c r="K158" s="735">
        <f>E158</f>
        <v>10900000</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40">SUM(C161:C161)</f>
        <v>0</v>
      </c>
      <c r="D160" s="577">
        <f t="shared" si="40"/>
        <v>48520598.76723469</v>
      </c>
      <c r="E160" s="578">
        <f t="shared" si="40"/>
        <v>48520598.76723469</v>
      </c>
      <c r="F160" s="578">
        <f t="shared" si="40"/>
        <v>0</v>
      </c>
      <c r="G160" s="578">
        <f t="shared" si="40"/>
        <v>0</v>
      </c>
      <c r="H160" s="578">
        <f t="shared" si="40"/>
        <v>24260299.383617345</v>
      </c>
      <c r="I160" s="578">
        <f>H160-G160</f>
        <v>24260299.383617345</v>
      </c>
      <c r="J160" s="324">
        <f>IF(I160=0,"",I160/H160)</f>
        <v>1</v>
      </c>
      <c r="K160" s="580">
        <f>SUM(K161)</f>
        <v>48520598.76723469</v>
      </c>
    </row>
    <row r="161" spans="1:11" ht="12.75" customHeight="1" x14ac:dyDescent="0.25">
      <c r="A161" s="518" t="s">
        <v>1335</v>
      </c>
      <c r="B161" s="169"/>
      <c r="C161" s="748"/>
      <c r="D161" s="753">
        <v>48520598.76723469</v>
      </c>
      <c r="E161" s="733">
        <v>48520598.76723469</v>
      </c>
      <c r="F161" s="733"/>
      <c r="G161" s="733"/>
      <c r="H161" s="733">
        <f>E161/12*6</f>
        <v>24260299.383617345</v>
      </c>
      <c r="I161" s="44">
        <f>H161-G161</f>
        <v>24260299.383617345</v>
      </c>
      <c r="J161" s="124">
        <f>IF(I161=0,"",I161/H161)</f>
        <v>1</v>
      </c>
      <c r="K161" s="735">
        <f>E161</f>
        <v>48520598.76723469</v>
      </c>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41">SUM(C164:C164)</f>
        <v>0</v>
      </c>
      <c r="D163" s="577">
        <f t="shared" si="41"/>
        <v>0</v>
      </c>
      <c r="E163" s="578">
        <f t="shared" si="41"/>
        <v>0</v>
      </c>
      <c r="F163" s="578">
        <f t="shared" si="41"/>
        <v>0</v>
      </c>
      <c r="G163" s="578">
        <f t="shared" si="41"/>
        <v>0</v>
      </c>
      <c r="H163" s="578">
        <f t="shared" si="41"/>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880</v>
      </c>
      <c r="B166" s="236">
        <v>1</v>
      </c>
      <c r="C166" s="112">
        <f t="shared" ref="C166:H166" si="42">C7+C75+C103+C110+C117+C135+C138+C148+C151+C154+C157+C160+C163</f>
        <v>0</v>
      </c>
      <c r="D166" s="271">
        <f t="shared" si="42"/>
        <v>456241581</v>
      </c>
      <c r="E166" s="55">
        <f t="shared" si="42"/>
        <v>477341580.99999994</v>
      </c>
      <c r="F166" s="55">
        <f t="shared" si="42"/>
        <v>5677450.8200000003</v>
      </c>
      <c r="G166" s="55">
        <f t="shared" si="42"/>
        <v>55141809.140000001</v>
      </c>
      <c r="H166" s="55">
        <f t="shared" si="42"/>
        <v>238670790.49999997</v>
      </c>
      <c r="I166" s="55">
        <f>H166-G166</f>
        <v>183528981.35999995</v>
      </c>
      <c r="J166" s="290">
        <f>IF(I166=0,"",I166/H166)</f>
        <v>0.76896289225639436</v>
      </c>
      <c r="K166" s="235">
        <f>K7+K75+K103+K110+K117+K135+K138+K148+K151+K154+K157+K160+K163</f>
        <v>477341580.99999994</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1329</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C166+SC13b!C166+SC13e!C166-'C5-Capex'!C40</f>
        <v>0</v>
      </c>
      <c r="D171" s="135">
        <f>D166+SC13b!D166+SC13e!D166-'C5-Capex'!D40</f>
        <v>0</v>
      </c>
      <c r="E171" s="135">
        <f>E166+SC13b!E166+SC13e!E166-'C5-Capex'!E40</f>
        <v>0</v>
      </c>
      <c r="F171" s="135">
        <f>F166+SC13b!F166+SC13e!F166-'C5-Capex'!F40</f>
        <v>0</v>
      </c>
      <c r="G171" s="135">
        <f>G166+SC13b!G166+SC13e!G166-'C5-Capex'!G40</f>
        <v>0</v>
      </c>
      <c r="H171" s="135">
        <f>H166+SC13b!H166+SC13e!H166-'C5-Capex'!H40</f>
        <v>0</v>
      </c>
      <c r="I171" s="135"/>
      <c r="J171" s="135"/>
      <c r="K171" s="135">
        <f>K166+SC13b!K166+SC13e!K166-'C5-Capex'!K40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2:A3"/>
    <mergeCell ref="B2:B3"/>
    <mergeCell ref="A1:K1"/>
  </mergeCells>
  <phoneticPr fontId="2" type="noConversion"/>
  <printOptions horizontalCentered="1"/>
  <pageMargins left="0.35433070866141736" right="0.15748031496062992" top="0.78740157480314965" bottom="0.59055118110236227" header="0.51181102362204722" footer="0.51181102362204722"/>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2"/>
  </sheetPr>
  <dimension ref="A1:L206"/>
  <sheetViews>
    <sheetView showGridLines="0" workbookViewId="0">
      <pane xSplit="2" ySplit="4" topLeftCell="C158" activePane="bottomRight" state="frozen"/>
      <selection pane="topRight"/>
      <selection pane="bottomLeft"/>
      <selection pane="bottomRight" activeCell="Q163" sqref="Q163"/>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57" t="str">
        <f>muni&amp; " - "&amp;S71Sb&amp; " - "&amp;Head57</f>
        <v>KZN225 Msunduzi - Supporting Table SC13b Consolidated Monthly Budget Statement - capital expenditure on renewal of existing assets by asset class - Mid-Year Assessment</v>
      </c>
      <c r="B1" s="1057"/>
      <c r="C1" s="1057"/>
      <c r="D1" s="1057"/>
      <c r="E1" s="1057"/>
      <c r="F1" s="1057"/>
      <c r="G1" s="1057"/>
      <c r="H1" s="1057"/>
      <c r="I1" s="1057"/>
      <c r="J1" s="1057"/>
      <c r="K1" s="1057"/>
    </row>
    <row r="2" spans="1:11" x14ac:dyDescent="0.25">
      <c r="A2" s="1042" t="str">
        <f>desc</f>
        <v>Description</v>
      </c>
      <c r="B2" s="1035" t="str">
        <f>head27</f>
        <v>Ref</v>
      </c>
      <c r="C2" s="139" t="str">
        <f>Head1</f>
        <v>2019/20</v>
      </c>
      <c r="D2" s="245" t="str">
        <f>Head2</f>
        <v>Budget Year 2020/21</v>
      </c>
      <c r="E2" s="229"/>
      <c r="F2" s="229"/>
      <c r="G2" s="229"/>
      <c r="H2" s="229"/>
      <c r="I2" s="229"/>
      <c r="J2" s="229"/>
      <c r="K2" s="230"/>
    </row>
    <row r="3" spans="1:11" ht="25.5" x14ac:dyDescent="0.25">
      <c r="A3" s="1043"/>
      <c r="B3" s="1046"/>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882</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7471008.3710928503</v>
      </c>
      <c r="E7" s="102">
        <f t="shared" si="0"/>
        <v>17471008.371092848</v>
      </c>
      <c r="F7" s="102">
        <f t="shared" si="0"/>
        <v>2815833.29</v>
      </c>
      <c r="G7" s="102">
        <f t="shared" si="0"/>
        <v>20075884.120000001</v>
      </c>
      <c r="H7" s="102">
        <f t="shared" si="0"/>
        <v>8735504.1855464242</v>
      </c>
      <c r="I7" s="101">
        <f t="shared" ref="I7:I133" si="1">H7-G7</f>
        <v>-11340379.934453577</v>
      </c>
      <c r="J7" s="579">
        <f t="shared" ref="J7:J136" si="2">IF(I7=0,"",I7/H7)</f>
        <v>-1.2981940931603151</v>
      </c>
      <c r="K7" s="603">
        <f>K8+K13+K17+K27+K38+K45+K53+K63+K69</f>
        <v>17471008.371092848</v>
      </c>
    </row>
    <row r="8" spans="1:11" ht="12.75" customHeight="1" x14ac:dyDescent="0.25">
      <c r="A8" s="518" t="s">
        <v>1216</v>
      </c>
      <c r="B8" s="169"/>
      <c r="C8" s="677">
        <f t="shared" ref="C8:H8" si="3">SUM(C9:C12)</f>
        <v>0</v>
      </c>
      <c r="D8" s="609">
        <f t="shared" si="3"/>
        <v>5914548.2937818393</v>
      </c>
      <c r="E8" s="608">
        <f t="shared" si="3"/>
        <v>15914548.293781839</v>
      </c>
      <c r="F8" s="608">
        <f t="shared" si="3"/>
        <v>2815833.29</v>
      </c>
      <c r="G8" s="608">
        <f t="shared" si="3"/>
        <v>19788920.77</v>
      </c>
      <c r="H8" s="608">
        <f t="shared" si="3"/>
        <v>7957274.1468909197</v>
      </c>
      <c r="I8" s="258">
        <f t="shared" si="1"/>
        <v>-11831646.62310908</v>
      </c>
      <c r="J8" s="575">
        <f t="shared" si="2"/>
        <v>-1.4868969454485821</v>
      </c>
      <c r="K8" s="610">
        <f>SUM(K9:K12)</f>
        <v>15914548.293781839</v>
      </c>
    </row>
    <row r="9" spans="1:11" ht="12.75" customHeight="1" x14ac:dyDescent="0.25">
      <c r="A9" s="574" t="s">
        <v>168</v>
      </c>
      <c r="B9" s="169"/>
      <c r="C9" s="748"/>
      <c r="D9" s="745">
        <v>5914548.2937818393</v>
      </c>
      <c r="E9" s="733">
        <v>15914548.293781839</v>
      </c>
      <c r="F9" s="733">
        <v>2815833.29</v>
      </c>
      <c r="G9" s="733">
        <v>19788920.77</v>
      </c>
      <c r="H9" s="733">
        <f>E9/12*6</f>
        <v>7957274.1468909197</v>
      </c>
      <c r="I9" s="258">
        <f t="shared" si="1"/>
        <v>-11831646.62310908</v>
      </c>
      <c r="J9" s="575">
        <f t="shared" si="2"/>
        <v>-1.4868969454485821</v>
      </c>
      <c r="K9" s="735">
        <f>E9</f>
        <v>15914548.293781839</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0</v>
      </c>
      <c r="E17" s="408">
        <f t="shared" si="5"/>
        <v>0</v>
      </c>
      <c r="F17" s="408">
        <f t="shared" si="5"/>
        <v>0</v>
      </c>
      <c r="G17" s="408">
        <f t="shared" si="5"/>
        <v>0</v>
      </c>
      <c r="H17" s="408">
        <f t="shared" si="5"/>
        <v>0</v>
      </c>
      <c r="I17" s="258">
        <f t="shared" si="1"/>
        <v>0</v>
      </c>
      <c r="J17" s="575" t="str">
        <f t="shared" si="2"/>
        <v/>
      </c>
      <c r="K17" s="642">
        <f>SUM(K18:K26)</f>
        <v>0</v>
      </c>
    </row>
    <row r="18" spans="1:11" ht="12.75" customHeight="1" x14ac:dyDescent="0.25">
      <c r="A18" s="574" t="s">
        <v>1225</v>
      </c>
      <c r="B18" s="169"/>
      <c r="C18" s="748"/>
      <c r="D18" s="745"/>
      <c r="E18" s="733"/>
      <c r="F18" s="733"/>
      <c r="G18" s="733"/>
      <c r="H18" s="733"/>
      <c r="I18" s="258">
        <f t="shared" si="1"/>
        <v>0</v>
      </c>
      <c r="J18" s="575" t="str">
        <f t="shared" si="2"/>
        <v/>
      </c>
      <c r="K18" s="735"/>
    </row>
    <row r="19" spans="1:11" ht="12.75" customHeight="1" x14ac:dyDescent="0.25">
      <c r="A19" s="574" t="s">
        <v>1226</v>
      </c>
      <c r="B19" s="169"/>
      <c r="C19" s="748"/>
      <c r="D19" s="745"/>
      <c r="E19" s="733"/>
      <c r="F19" s="733"/>
      <c r="G19" s="733"/>
      <c r="H19" s="733"/>
      <c r="I19" s="258">
        <f t="shared" si="1"/>
        <v>0</v>
      </c>
      <c r="J19" s="575" t="str">
        <f t="shared" si="2"/>
        <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0</v>
      </c>
      <c r="E27" s="408">
        <f t="shared" si="6"/>
        <v>0</v>
      </c>
      <c r="F27" s="408">
        <f t="shared" si="6"/>
        <v>0</v>
      </c>
      <c r="G27" s="408">
        <f t="shared" si="6"/>
        <v>0</v>
      </c>
      <c r="H27" s="408">
        <f t="shared" si="6"/>
        <v>0</v>
      </c>
      <c r="I27" s="258">
        <f t="shared" si="1"/>
        <v>0</v>
      </c>
      <c r="J27" s="575" t="str">
        <f t="shared" si="2"/>
        <v/>
      </c>
      <c r="K27" s="642">
        <f>SUM(K28:K37)</f>
        <v>0</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c r="F30" s="733"/>
      <c r="G30" s="733"/>
      <c r="H30" s="733"/>
      <c r="I30" s="258">
        <f t="shared" si="1"/>
        <v>0</v>
      </c>
      <c r="J30" s="575" t="str">
        <f t="shared" si="2"/>
        <v/>
      </c>
      <c r="K30" s="735"/>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c r="G34" s="733"/>
      <c r="H34" s="733"/>
      <c r="I34" s="258">
        <f t="shared" si="1"/>
        <v>0</v>
      </c>
      <c r="J34" s="575" t="str">
        <f t="shared" si="2"/>
        <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0</v>
      </c>
      <c r="E38" s="408">
        <f t="shared" si="7"/>
        <v>0</v>
      </c>
      <c r="F38" s="408">
        <f t="shared" si="7"/>
        <v>0</v>
      </c>
      <c r="G38" s="408">
        <f t="shared" si="7"/>
        <v>0</v>
      </c>
      <c r="H38" s="408">
        <f t="shared" si="7"/>
        <v>0</v>
      </c>
      <c r="I38" s="258">
        <f t="shared" si="1"/>
        <v>0</v>
      </c>
      <c r="J38" s="575" t="str">
        <f t="shared" si="2"/>
        <v/>
      </c>
      <c r="K38" s="642">
        <f>SUM(K39:K44)</f>
        <v>0</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c r="G40" s="733"/>
      <c r="H40" s="733"/>
      <c r="I40" s="258">
        <f t="shared" si="1"/>
        <v>0</v>
      </c>
      <c r="J40" s="575" t="str">
        <f t="shared" si="2"/>
        <v/>
      </c>
      <c r="K40" s="735"/>
    </row>
    <row r="41" spans="1:11" ht="12.75" customHeight="1" x14ac:dyDescent="0.25">
      <c r="A41" s="574" t="s">
        <v>1245</v>
      </c>
      <c r="B41" s="169"/>
      <c r="C41" s="748"/>
      <c r="D41" s="745"/>
      <c r="E41" s="733"/>
      <c r="F41" s="733"/>
      <c r="G41" s="733"/>
      <c r="H41" s="733"/>
      <c r="I41" s="258">
        <f t="shared" si="1"/>
        <v>0</v>
      </c>
      <c r="J41" s="575" t="str">
        <f t="shared" si="2"/>
        <v/>
      </c>
      <c r="K41" s="735"/>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8">SUM(C46:C52)</f>
        <v>0</v>
      </c>
      <c r="D45" s="649">
        <f t="shared" si="8"/>
        <v>1556460.0773110106</v>
      </c>
      <c r="E45" s="408">
        <f t="shared" si="8"/>
        <v>1556460.0773110106</v>
      </c>
      <c r="F45" s="408">
        <f t="shared" si="8"/>
        <v>0</v>
      </c>
      <c r="G45" s="408">
        <f t="shared" si="8"/>
        <v>286963.34999999998</v>
      </c>
      <c r="H45" s="408">
        <f t="shared" si="8"/>
        <v>778230.03865550528</v>
      </c>
      <c r="I45" s="258">
        <f t="shared" si="1"/>
        <v>491266.68865550531</v>
      </c>
      <c r="J45" s="575">
        <f t="shared" si="2"/>
        <v>0.6312615348338817</v>
      </c>
      <c r="K45" s="642">
        <f>SUM(K46:K52)</f>
        <v>1556460.0773110106</v>
      </c>
    </row>
    <row r="46" spans="1:11" ht="12.75" customHeight="1" x14ac:dyDescent="0.25">
      <c r="A46" s="574" t="s">
        <v>1249</v>
      </c>
      <c r="B46" s="169"/>
      <c r="C46" s="748"/>
      <c r="D46" s="745">
        <v>1556460.0773110106</v>
      </c>
      <c r="E46" s="733">
        <v>1556460.0773110106</v>
      </c>
      <c r="F46" s="733"/>
      <c r="G46" s="733">
        <v>286963.34999999998</v>
      </c>
      <c r="H46" s="733">
        <f>E46/12*6</f>
        <v>778230.03865550528</v>
      </c>
      <c r="I46" s="258">
        <f t="shared" si="1"/>
        <v>491266.68865550531</v>
      </c>
      <c r="J46" s="575">
        <f t="shared" si="2"/>
        <v>0.6312615348338817</v>
      </c>
      <c r="K46" s="735">
        <f>E46</f>
        <v>1556460.0773110106</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9">SUM(C54:C62)</f>
        <v>0</v>
      </c>
      <c r="D53" s="649">
        <f t="shared" si="9"/>
        <v>0</v>
      </c>
      <c r="E53" s="408">
        <f t="shared" si="9"/>
        <v>0</v>
      </c>
      <c r="F53" s="408">
        <f t="shared" si="9"/>
        <v>0</v>
      </c>
      <c r="G53" s="408">
        <f t="shared" si="9"/>
        <v>0</v>
      </c>
      <c r="H53" s="408">
        <f t="shared" si="9"/>
        <v>0</v>
      </c>
      <c r="I53" s="258">
        <f t="shared" si="1"/>
        <v>0</v>
      </c>
      <c r="J53" s="575" t="str">
        <f t="shared" si="2"/>
        <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0">SUM(C64:C68)</f>
        <v>0</v>
      </c>
      <c r="D63" s="649">
        <f t="shared" si="10"/>
        <v>0</v>
      </c>
      <c r="E63" s="408">
        <f t="shared" si="10"/>
        <v>0</v>
      </c>
      <c r="F63" s="408">
        <f t="shared" si="10"/>
        <v>0</v>
      </c>
      <c r="G63" s="408">
        <f t="shared" si="10"/>
        <v>0</v>
      </c>
      <c r="H63" s="408">
        <f t="shared" si="10"/>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1">SUM(C70:C73)</f>
        <v>0</v>
      </c>
      <c r="D69" s="649">
        <f t="shared" si="11"/>
        <v>0</v>
      </c>
      <c r="E69" s="408">
        <f t="shared" si="11"/>
        <v>0</v>
      </c>
      <c r="F69" s="408">
        <f t="shared" si="11"/>
        <v>0</v>
      </c>
      <c r="G69" s="408">
        <f t="shared" si="11"/>
        <v>0</v>
      </c>
      <c r="H69" s="408">
        <f t="shared" si="11"/>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2">+C76+C99</f>
        <v>0</v>
      </c>
      <c r="D75" s="577">
        <f t="shared" si="12"/>
        <v>0</v>
      </c>
      <c r="E75" s="578">
        <f t="shared" si="12"/>
        <v>0</v>
      </c>
      <c r="F75" s="578">
        <f t="shared" si="12"/>
        <v>-209201.65</v>
      </c>
      <c r="G75" s="578">
        <f t="shared" si="12"/>
        <v>-209201.65</v>
      </c>
      <c r="H75" s="578">
        <f t="shared" si="12"/>
        <v>0</v>
      </c>
      <c r="I75" s="578">
        <f t="shared" si="1"/>
        <v>209201.65</v>
      </c>
      <c r="J75" s="579" t="e">
        <f t="shared" si="2"/>
        <v>#DIV/0!</v>
      </c>
      <c r="K75" s="580">
        <f>+K76+K99</f>
        <v>0</v>
      </c>
    </row>
    <row r="76" spans="1:11" ht="12.75" customHeight="1" x14ac:dyDescent="0.25">
      <c r="A76" s="518" t="s">
        <v>1268</v>
      </c>
      <c r="B76" s="169"/>
      <c r="C76" s="648">
        <f t="shared" ref="C76:H76" si="13">SUM(C77:C98)</f>
        <v>0</v>
      </c>
      <c r="D76" s="649">
        <f t="shared" si="13"/>
        <v>0</v>
      </c>
      <c r="E76" s="408">
        <f t="shared" si="13"/>
        <v>0</v>
      </c>
      <c r="F76" s="408">
        <f t="shared" si="13"/>
        <v>-209201.65</v>
      </c>
      <c r="G76" s="408">
        <f t="shared" si="13"/>
        <v>-209201.65</v>
      </c>
      <c r="H76" s="408">
        <f t="shared" si="13"/>
        <v>0</v>
      </c>
      <c r="I76" s="258">
        <f t="shared" si="1"/>
        <v>209201.65</v>
      </c>
      <c r="J76" s="575" t="e">
        <f t="shared" si="2"/>
        <v>#DIV/0!</v>
      </c>
      <c r="K76" s="642">
        <f>SUM(K77:K98)</f>
        <v>0</v>
      </c>
    </row>
    <row r="77" spans="1:11" ht="12.75" customHeight="1" x14ac:dyDescent="0.25">
      <c r="A77" s="574" t="s">
        <v>1269</v>
      </c>
      <c r="B77" s="169"/>
      <c r="C77" s="748"/>
      <c r="D77" s="753"/>
      <c r="E77" s="733"/>
      <c r="F77" s="733"/>
      <c r="G77" s="733"/>
      <c r="H77" s="733"/>
      <c r="I77" s="44">
        <f t="shared" si="1"/>
        <v>0</v>
      </c>
      <c r="J77" s="124" t="str">
        <f t="shared" si="2"/>
        <v/>
      </c>
      <c r="K77" s="735"/>
    </row>
    <row r="78" spans="1:11" ht="12.75" customHeight="1" x14ac:dyDescent="0.25">
      <c r="A78" s="574" t="s">
        <v>1270</v>
      </c>
      <c r="B78" s="169"/>
      <c r="C78" s="748"/>
      <c r="D78" s="753"/>
      <c r="E78" s="733"/>
      <c r="F78" s="733">
        <v>-209201.65</v>
      </c>
      <c r="G78" s="733">
        <v>-209201.65</v>
      </c>
      <c r="H78" s="733"/>
      <c r="I78" s="44">
        <f t="shared" si="1"/>
        <v>209201.65</v>
      </c>
      <c r="J78" s="124" t="e">
        <f t="shared" si="2"/>
        <v>#DIV/0!</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c r="E80" s="733"/>
      <c r="F80" s="733"/>
      <c r="G80" s="733"/>
      <c r="H80" s="733"/>
      <c r="I80" s="44">
        <f t="shared" si="1"/>
        <v>0</v>
      </c>
      <c r="J80" s="124" t="str">
        <f t="shared" si="2"/>
        <v/>
      </c>
      <c r="K80" s="735"/>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c r="E86" s="733"/>
      <c r="F86" s="733"/>
      <c r="G86" s="733"/>
      <c r="H86" s="733"/>
      <c r="I86" s="44">
        <f t="shared" si="1"/>
        <v>0</v>
      </c>
      <c r="J86" s="124" t="str">
        <f t="shared" si="2"/>
        <v/>
      </c>
      <c r="K86" s="735"/>
    </row>
    <row r="87" spans="1:11" ht="12.75" customHeight="1" x14ac:dyDescent="0.25">
      <c r="A87" s="574" t="s">
        <v>1277</v>
      </c>
      <c r="B87" s="169"/>
      <c r="C87" s="748"/>
      <c r="D87" s="753"/>
      <c r="E87" s="733"/>
      <c r="F87" s="733"/>
      <c r="G87" s="733"/>
      <c r="H87" s="733"/>
      <c r="I87" s="44">
        <f t="shared" si="1"/>
        <v>0</v>
      </c>
      <c r="J87" s="124" t="str">
        <f t="shared" si="2"/>
        <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c r="E89" s="733"/>
      <c r="F89" s="733"/>
      <c r="G89" s="733"/>
      <c r="H89" s="733"/>
      <c r="I89" s="44">
        <f t="shared" si="1"/>
        <v>0</v>
      </c>
      <c r="J89" s="124" t="str">
        <f t="shared" si="2"/>
        <v/>
      </c>
      <c r="K89" s="735"/>
    </row>
    <row r="90" spans="1:11" ht="12.75" customHeight="1" x14ac:dyDescent="0.25">
      <c r="A90" s="574" t="s">
        <v>1279</v>
      </c>
      <c r="B90" s="169"/>
      <c r="C90" s="748"/>
      <c r="D90" s="753"/>
      <c r="E90" s="733"/>
      <c r="F90" s="733"/>
      <c r="G90" s="733"/>
      <c r="H90" s="733"/>
      <c r="I90" s="44">
        <f t="shared" si="1"/>
        <v>0</v>
      </c>
      <c r="J90" s="124" t="str">
        <f t="shared" si="2"/>
        <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c r="E93" s="733"/>
      <c r="F93" s="733"/>
      <c r="G93" s="733"/>
      <c r="H93" s="733"/>
      <c r="I93" s="44">
        <f t="shared" si="1"/>
        <v>0</v>
      </c>
      <c r="J93" s="124" t="str">
        <f t="shared" si="2"/>
        <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4">SUM(C100:C102)</f>
        <v>0</v>
      </c>
      <c r="D99" s="649">
        <f t="shared" si="14"/>
        <v>0</v>
      </c>
      <c r="E99" s="408">
        <f t="shared" si="14"/>
        <v>0</v>
      </c>
      <c r="F99" s="408">
        <f t="shared" si="14"/>
        <v>0</v>
      </c>
      <c r="G99" s="408">
        <f t="shared" si="14"/>
        <v>0</v>
      </c>
      <c r="H99" s="408">
        <f t="shared" si="14"/>
        <v>0</v>
      </c>
      <c r="I99" s="258">
        <f t="shared" si="1"/>
        <v>0</v>
      </c>
      <c r="J99" s="575" t="str">
        <f t="shared" si="2"/>
        <v/>
      </c>
      <c r="K99" s="642">
        <f>SUM(K100:K102)</f>
        <v>0</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c r="F101" s="733"/>
      <c r="G101" s="733"/>
      <c r="H101" s="733"/>
      <c r="I101" s="44">
        <f>H101-G101</f>
        <v>0</v>
      </c>
      <c r="J101" s="124" t="str">
        <f>IF(I101=0,"",I101/H101)</f>
        <v/>
      </c>
      <c r="K101" s="735"/>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5">SUM(C104:C108)</f>
        <v>0</v>
      </c>
      <c r="D103" s="264">
        <f t="shared" si="15"/>
        <v>0</v>
      </c>
      <c r="E103" s="99">
        <f t="shared" si="15"/>
        <v>0</v>
      </c>
      <c r="F103" s="99">
        <f t="shared" si="15"/>
        <v>0</v>
      </c>
      <c r="G103" s="99">
        <f t="shared" si="15"/>
        <v>0</v>
      </c>
      <c r="H103" s="99">
        <f t="shared" si="15"/>
        <v>0</v>
      </c>
      <c r="I103" s="99">
        <f t="shared" si="1"/>
        <v>0</v>
      </c>
      <c r="J103" s="324" t="str">
        <f t="shared" si="2"/>
        <v/>
      </c>
      <c r="K103" s="195">
        <f>SUM(K104:K108)</f>
        <v>0</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c r="E108" s="733"/>
      <c r="F108" s="733"/>
      <c r="G108" s="733"/>
      <c r="H108" s="733"/>
      <c r="I108" s="44">
        <f t="shared" si="1"/>
        <v>0</v>
      </c>
      <c r="J108" s="124" t="str">
        <f t="shared" si="2"/>
        <v/>
      </c>
      <c r="K108" s="735"/>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6">+C111+C114</f>
        <v>0</v>
      </c>
      <c r="D110" s="577">
        <f t="shared" si="16"/>
        <v>0</v>
      </c>
      <c r="E110" s="578">
        <f t="shared" si="16"/>
        <v>0</v>
      </c>
      <c r="F110" s="578">
        <f t="shared" si="16"/>
        <v>0</v>
      </c>
      <c r="G110" s="578">
        <f t="shared" si="16"/>
        <v>0</v>
      </c>
      <c r="H110" s="578">
        <f t="shared" si="16"/>
        <v>0</v>
      </c>
      <c r="I110" s="99">
        <f t="shared" si="1"/>
        <v>0</v>
      </c>
      <c r="J110" s="324" t="str">
        <f t="shared" si="2"/>
        <v/>
      </c>
      <c r="K110" s="580">
        <f>+K111+K114</f>
        <v>0</v>
      </c>
    </row>
    <row r="111" spans="1:11" ht="12.75" customHeight="1" x14ac:dyDescent="0.25">
      <c r="A111" s="518" t="s">
        <v>1294</v>
      </c>
      <c r="B111" s="169"/>
      <c r="C111" s="648">
        <f t="shared" ref="C111:H111" si="17">SUM(C112:C113)</f>
        <v>0</v>
      </c>
      <c r="D111" s="649">
        <f t="shared" si="17"/>
        <v>0</v>
      </c>
      <c r="E111" s="408">
        <f t="shared" si="17"/>
        <v>0</v>
      </c>
      <c r="F111" s="408">
        <f t="shared" si="17"/>
        <v>0</v>
      </c>
      <c r="G111" s="408">
        <f t="shared" si="17"/>
        <v>0</v>
      </c>
      <c r="H111" s="408">
        <f t="shared" si="17"/>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18">SUM(C115:C116)</f>
        <v>0</v>
      </c>
      <c r="D114" s="649">
        <f t="shared" si="18"/>
        <v>0</v>
      </c>
      <c r="E114" s="408">
        <f t="shared" si="18"/>
        <v>0</v>
      </c>
      <c r="F114" s="408">
        <f t="shared" si="18"/>
        <v>0</v>
      </c>
      <c r="G114" s="408">
        <f t="shared" si="18"/>
        <v>0</v>
      </c>
      <c r="H114" s="408">
        <f t="shared" si="18"/>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19">+C118+C130</f>
        <v>0</v>
      </c>
      <c r="D117" s="577">
        <f t="shared" si="19"/>
        <v>0</v>
      </c>
      <c r="E117" s="578">
        <f t="shared" si="19"/>
        <v>0</v>
      </c>
      <c r="F117" s="578">
        <f t="shared" si="19"/>
        <v>0</v>
      </c>
      <c r="G117" s="578">
        <f t="shared" si="19"/>
        <v>0</v>
      </c>
      <c r="H117" s="578">
        <f t="shared" si="19"/>
        <v>0</v>
      </c>
      <c r="I117" s="578">
        <f t="shared" si="1"/>
        <v>0</v>
      </c>
      <c r="J117" s="579" t="str">
        <f t="shared" si="2"/>
        <v/>
      </c>
      <c r="K117" s="580">
        <f>+K118+K130</f>
        <v>0</v>
      </c>
    </row>
    <row r="118" spans="1:11" ht="12.75" customHeight="1" x14ac:dyDescent="0.25">
      <c r="A118" s="518" t="s">
        <v>1298</v>
      </c>
      <c r="B118" s="169"/>
      <c r="C118" s="648">
        <f t="shared" ref="C118:H118" si="20">SUM(C119:C129)</f>
        <v>0</v>
      </c>
      <c r="D118" s="649">
        <f t="shared" si="20"/>
        <v>0</v>
      </c>
      <c r="E118" s="408">
        <f t="shared" si="20"/>
        <v>0</v>
      </c>
      <c r="F118" s="408">
        <f t="shared" si="20"/>
        <v>0</v>
      </c>
      <c r="G118" s="408">
        <f t="shared" si="20"/>
        <v>0</v>
      </c>
      <c r="H118" s="408">
        <f t="shared" si="20"/>
        <v>0</v>
      </c>
      <c r="I118" s="258">
        <f t="shared" si="1"/>
        <v>0</v>
      </c>
      <c r="J118" s="575" t="str">
        <f t="shared" si="2"/>
        <v/>
      </c>
      <c r="K118" s="642">
        <f>SUM(K119:K129)</f>
        <v>0</v>
      </c>
    </row>
    <row r="119" spans="1:11" ht="12.75" customHeight="1" x14ac:dyDescent="0.25">
      <c r="A119" s="574" t="s">
        <v>1299</v>
      </c>
      <c r="B119" s="169"/>
      <c r="C119" s="748"/>
      <c r="D119" s="753"/>
      <c r="E119" s="733"/>
      <c r="F119" s="733"/>
      <c r="G119" s="733"/>
      <c r="H119" s="733"/>
      <c r="I119" s="44">
        <f t="shared" si="1"/>
        <v>0</v>
      </c>
      <c r="J119" s="124" t="str">
        <f t="shared" si="2"/>
        <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1">SUM(C131:C133)</f>
        <v>0</v>
      </c>
      <c r="D130" s="649">
        <f t="shared" si="21"/>
        <v>0</v>
      </c>
      <c r="E130" s="408">
        <f t="shared" si="21"/>
        <v>0</v>
      </c>
      <c r="F130" s="408">
        <f t="shared" si="21"/>
        <v>0</v>
      </c>
      <c r="G130" s="408">
        <f t="shared" si="21"/>
        <v>0</v>
      </c>
      <c r="H130" s="408">
        <f t="shared" si="21"/>
        <v>0</v>
      </c>
      <c r="I130" s="258">
        <f t="shared" si="1"/>
        <v>0</v>
      </c>
      <c r="J130" s="575" t="str">
        <f t="shared" si="2"/>
        <v/>
      </c>
      <c r="K130" s="642">
        <f>SUM(K131:K133)</f>
        <v>0</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2">SUM(C136:C136)</f>
        <v>0</v>
      </c>
      <c r="D135" s="577">
        <f t="shared" si="22"/>
        <v>0</v>
      </c>
      <c r="E135" s="578">
        <f t="shared" si="22"/>
        <v>0</v>
      </c>
      <c r="F135" s="578">
        <f t="shared" si="22"/>
        <v>0</v>
      </c>
      <c r="G135" s="578">
        <f t="shared" si="22"/>
        <v>0</v>
      </c>
      <c r="H135" s="578">
        <f t="shared" si="22"/>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3">IF(I137=0,"",I137/H137)</f>
        <v/>
      </c>
      <c r="K137" s="144"/>
    </row>
    <row r="138" spans="1:11" s="100" customFormat="1" ht="12.75" customHeight="1" x14ac:dyDescent="0.25">
      <c r="A138" s="549" t="s">
        <v>1312</v>
      </c>
      <c r="B138" s="171"/>
      <c r="C138" s="940">
        <f t="shared" ref="C138:H138" si="24">SUM(C139:C140)</f>
        <v>0</v>
      </c>
      <c r="D138" s="941">
        <f t="shared" si="24"/>
        <v>0</v>
      </c>
      <c r="E138" s="942">
        <f t="shared" si="24"/>
        <v>0</v>
      </c>
      <c r="F138" s="942">
        <f t="shared" si="24"/>
        <v>0</v>
      </c>
      <c r="G138" s="942">
        <f t="shared" si="24"/>
        <v>0</v>
      </c>
      <c r="H138" s="942">
        <f t="shared" si="24"/>
        <v>0</v>
      </c>
      <c r="I138" s="942">
        <f t="shared" ref="I138:I146" si="25">H138-G138</f>
        <v>0</v>
      </c>
      <c r="J138" s="324" t="str">
        <f t="shared" si="23"/>
        <v/>
      </c>
      <c r="K138" s="943">
        <f>SUM(K139:K140)</f>
        <v>0</v>
      </c>
    </row>
    <row r="139" spans="1:11" ht="12.75" customHeight="1" x14ac:dyDescent="0.25">
      <c r="A139" s="517" t="s">
        <v>1313</v>
      </c>
      <c r="B139" s="169"/>
      <c r="C139" s="748"/>
      <c r="D139" s="753"/>
      <c r="E139" s="733"/>
      <c r="F139" s="733"/>
      <c r="G139" s="733"/>
      <c r="H139" s="733"/>
      <c r="I139" s="44">
        <f t="shared" si="25"/>
        <v>0</v>
      </c>
      <c r="J139" s="124" t="str">
        <f t="shared" si="23"/>
        <v/>
      </c>
      <c r="K139" s="735"/>
    </row>
    <row r="140" spans="1:11" ht="12.75" customHeight="1" x14ac:dyDescent="0.25">
      <c r="A140" s="517" t="s">
        <v>1314</v>
      </c>
      <c r="B140" s="169"/>
      <c r="C140" s="648">
        <f t="shared" ref="C140:H140" si="26">SUM(C141:C146)</f>
        <v>0</v>
      </c>
      <c r="D140" s="649">
        <f t="shared" si="26"/>
        <v>0</v>
      </c>
      <c r="E140" s="408">
        <f t="shared" si="26"/>
        <v>0</v>
      </c>
      <c r="F140" s="408">
        <f t="shared" si="26"/>
        <v>0</v>
      </c>
      <c r="G140" s="408">
        <f t="shared" si="26"/>
        <v>0</v>
      </c>
      <c r="H140" s="408">
        <f t="shared" si="26"/>
        <v>0</v>
      </c>
      <c r="I140" s="258">
        <f t="shared" si="25"/>
        <v>0</v>
      </c>
      <c r="J140" s="575" t="str">
        <f t="shared" si="23"/>
        <v/>
      </c>
      <c r="K140" s="642">
        <f>SUM(K141:K146)</f>
        <v>0</v>
      </c>
    </row>
    <row r="141" spans="1:11" ht="12.75" customHeight="1" x14ac:dyDescent="0.25">
      <c r="A141" s="574" t="s">
        <v>1315</v>
      </c>
      <c r="B141" s="169"/>
      <c r="C141" s="748"/>
      <c r="D141" s="753"/>
      <c r="E141" s="733"/>
      <c r="F141" s="733"/>
      <c r="G141" s="733"/>
      <c r="H141" s="733"/>
      <c r="I141" s="44">
        <f t="shared" si="25"/>
        <v>0</v>
      </c>
      <c r="J141" s="124" t="str">
        <f t="shared" si="23"/>
        <v/>
      </c>
      <c r="K141" s="735"/>
    </row>
    <row r="142" spans="1:11" ht="12.75" customHeight="1" x14ac:dyDescent="0.25">
      <c r="A142" s="574" t="s">
        <v>1316</v>
      </c>
      <c r="B142" s="169"/>
      <c r="C142" s="748"/>
      <c r="D142" s="753"/>
      <c r="E142" s="733"/>
      <c r="F142" s="733"/>
      <c r="G142" s="733"/>
      <c r="H142" s="733"/>
      <c r="I142" s="44">
        <f t="shared" si="25"/>
        <v>0</v>
      </c>
      <c r="J142" s="124" t="str">
        <f t="shared" si="23"/>
        <v/>
      </c>
      <c r="K142" s="735"/>
    </row>
    <row r="143" spans="1:11" ht="12.75" customHeight="1" x14ac:dyDescent="0.25">
      <c r="A143" s="574" t="s">
        <v>1317</v>
      </c>
      <c r="B143" s="169"/>
      <c r="C143" s="748"/>
      <c r="D143" s="753"/>
      <c r="E143" s="733"/>
      <c r="F143" s="733"/>
      <c r="G143" s="733"/>
      <c r="H143" s="733"/>
      <c r="I143" s="44">
        <f t="shared" si="25"/>
        <v>0</v>
      </c>
      <c r="J143" s="124" t="str">
        <f t="shared" si="23"/>
        <v/>
      </c>
      <c r="K143" s="735"/>
    </row>
    <row r="144" spans="1:11" ht="12.75" customHeight="1" x14ac:dyDescent="0.25">
      <c r="A144" s="574" t="s">
        <v>1318</v>
      </c>
      <c r="B144" s="169"/>
      <c r="C144" s="748"/>
      <c r="D144" s="753"/>
      <c r="E144" s="733"/>
      <c r="F144" s="733"/>
      <c r="G144" s="733"/>
      <c r="H144" s="733"/>
      <c r="I144" s="44">
        <f t="shared" si="25"/>
        <v>0</v>
      </c>
      <c r="J144" s="124" t="str">
        <f t="shared" si="23"/>
        <v/>
      </c>
      <c r="K144" s="735"/>
    </row>
    <row r="145" spans="1:12" ht="12.75" customHeight="1" x14ac:dyDescent="0.25">
      <c r="A145" s="574" t="s">
        <v>1319</v>
      </c>
      <c r="B145" s="169"/>
      <c r="C145" s="748"/>
      <c r="D145" s="753"/>
      <c r="E145" s="733"/>
      <c r="F145" s="733"/>
      <c r="G145" s="733"/>
      <c r="H145" s="733"/>
      <c r="I145" s="44">
        <f t="shared" si="25"/>
        <v>0</v>
      </c>
      <c r="J145" s="124" t="str">
        <f t="shared" si="23"/>
        <v/>
      </c>
      <c r="K145" s="735"/>
    </row>
    <row r="146" spans="1:12" ht="12.75" customHeight="1" x14ac:dyDescent="0.25">
      <c r="A146" s="574" t="s">
        <v>1320</v>
      </c>
      <c r="B146" s="169"/>
      <c r="C146" s="748"/>
      <c r="D146" s="753"/>
      <c r="E146" s="733"/>
      <c r="F146" s="733"/>
      <c r="G146" s="733"/>
      <c r="H146" s="733"/>
      <c r="I146" s="44">
        <f t="shared" si="25"/>
        <v>0</v>
      </c>
      <c r="J146" s="124" t="str">
        <f t="shared" si="23"/>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7">SUM(C149:C149)</f>
        <v>0</v>
      </c>
      <c r="D148" s="577">
        <f t="shared" si="27"/>
        <v>0</v>
      </c>
      <c r="E148" s="578">
        <f t="shared" si="27"/>
        <v>0</v>
      </c>
      <c r="F148" s="578">
        <f t="shared" si="27"/>
        <v>0</v>
      </c>
      <c r="G148" s="578">
        <f t="shared" si="27"/>
        <v>0</v>
      </c>
      <c r="H148" s="578">
        <f t="shared" si="27"/>
        <v>0</v>
      </c>
      <c r="I148" s="578">
        <f>H148-G148</f>
        <v>0</v>
      </c>
      <c r="J148" s="324" t="str">
        <f>IF(I148=0,"",I148/H148)</f>
        <v/>
      </c>
      <c r="K148" s="580">
        <f>SUM(K149)</f>
        <v>0</v>
      </c>
    </row>
    <row r="149" spans="1:12" ht="12.75" customHeight="1" x14ac:dyDescent="0.25">
      <c r="A149" s="518" t="s">
        <v>1321</v>
      </c>
      <c r="B149" s="169"/>
      <c r="C149" s="748"/>
      <c r="D149" s="753"/>
      <c r="E149" s="733"/>
      <c r="F149" s="733"/>
      <c r="G149" s="733"/>
      <c r="H149" s="733"/>
      <c r="I149" s="44">
        <f>H149-G149</f>
        <v>0</v>
      </c>
      <c r="J149" s="124" t="str">
        <f>IF(I149=0,"",I149/H149)</f>
        <v/>
      </c>
      <c r="K149" s="735"/>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28">SUM(C152:C152)</f>
        <v>0</v>
      </c>
      <c r="D151" s="577">
        <f t="shared" si="28"/>
        <v>389115.01932775264</v>
      </c>
      <c r="E151" s="578">
        <f t="shared" si="28"/>
        <v>389115.01932775264</v>
      </c>
      <c r="F151" s="578">
        <f t="shared" si="28"/>
        <v>0</v>
      </c>
      <c r="G151" s="578">
        <f t="shared" si="28"/>
        <v>0</v>
      </c>
      <c r="H151" s="578">
        <f t="shared" si="28"/>
        <v>194557.50966387632</v>
      </c>
      <c r="I151" s="578">
        <f>H151-G151</f>
        <v>194557.50966387632</v>
      </c>
      <c r="J151" s="324">
        <f>IF(I151=0,"",I151/H151)</f>
        <v>1</v>
      </c>
      <c r="K151" s="580">
        <f>SUM(K152)</f>
        <v>389115.01932775264</v>
      </c>
    </row>
    <row r="152" spans="1:12" ht="12.75" customHeight="1" x14ac:dyDescent="0.25">
      <c r="A152" s="518" t="s">
        <v>1322</v>
      </c>
      <c r="B152" s="169"/>
      <c r="C152" s="748"/>
      <c r="D152" s="753">
        <v>389115.01932775264</v>
      </c>
      <c r="E152" s="733">
        <v>389115.01932775264</v>
      </c>
      <c r="F152" s="733"/>
      <c r="G152" s="733"/>
      <c r="H152" s="733">
        <f>E152/12*6</f>
        <v>194557.50966387632</v>
      </c>
      <c r="I152" s="44">
        <f>H152-G152</f>
        <v>194557.50966387632</v>
      </c>
      <c r="J152" s="124">
        <f>IF(I152=0,"",I152/H152)</f>
        <v>1</v>
      </c>
      <c r="K152" s="735">
        <f>E152</f>
        <v>389115.01932775264</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29">SUM(C155:C155)</f>
        <v>0</v>
      </c>
      <c r="D154" s="577">
        <f t="shared" si="29"/>
        <v>7339876.6095793974</v>
      </c>
      <c r="E154" s="578">
        <f t="shared" si="29"/>
        <v>7339876.6095793974</v>
      </c>
      <c r="F154" s="578">
        <f t="shared" si="29"/>
        <v>0</v>
      </c>
      <c r="G154" s="578">
        <f t="shared" si="29"/>
        <v>169552.05</v>
      </c>
      <c r="H154" s="578">
        <f t="shared" si="29"/>
        <v>3669938.3047896987</v>
      </c>
      <c r="I154" s="578">
        <f>H154-G154</f>
        <v>3500386.2547896989</v>
      </c>
      <c r="J154" s="324">
        <f>IF(I154=0,"",I154/H154)</f>
        <v>0.95379975467742484</v>
      </c>
      <c r="K154" s="580">
        <f>SUM(K155)</f>
        <v>7339876.6095793974</v>
      </c>
    </row>
    <row r="155" spans="1:12" ht="12.75" customHeight="1" x14ac:dyDescent="0.25">
      <c r="A155" s="518" t="s">
        <v>1323</v>
      </c>
      <c r="B155" s="169"/>
      <c r="C155" s="748"/>
      <c r="D155" s="753">
        <v>7339876.6095793974</v>
      </c>
      <c r="E155" s="733">
        <v>7339876.6095793974</v>
      </c>
      <c r="F155" s="733"/>
      <c r="G155" s="733">
        <v>169552.05</v>
      </c>
      <c r="H155" s="733">
        <f>E155/12*6</f>
        <v>3669938.3047896987</v>
      </c>
      <c r="I155" s="44">
        <f>H155-G155</f>
        <v>3500386.2547896989</v>
      </c>
      <c r="J155" s="124">
        <f>IF(I155=0,"",I155/H155)</f>
        <v>0.95379975467742484</v>
      </c>
      <c r="K155" s="735">
        <f>E155</f>
        <v>7339876.6095793974</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0">SUM(C158:C158)</f>
        <v>0</v>
      </c>
      <c r="D157" s="577">
        <f t="shared" si="30"/>
        <v>0</v>
      </c>
      <c r="E157" s="578">
        <f t="shared" si="30"/>
        <v>0</v>
      </c>
      <c r="F157" s="578">
        <f t="shared" si="30"/>
        <v>0</v>
      </c>
      <c r="G157" s="578">
        <f t="shared" si="30"/>
        <v>0</v>
      </c>
      <c r="H157" s="578">
        <f t="shared" si="30"/>
        <v>0</v>
      </c>
      <c r="I157" s="578">
        <f>H157-G157</f>
        <v>0</v>
      </c>
      <c r="J157" s="324" t="str">
        <f>IF(I157=0,"",I157/H157)</f>
        <v/>
      </c>
      <c r="K157" s="580">
        <f>SUM(K158)</f>
        <v>0</v>
      </c>
    </row>
    <row r="158" spans="1:12" ht="12.75" customHeight="1" x14ac:dyDescent="0.25">
      <c r="A158" s="518" t="s">
        <v>1324</v>
      </c>
      <c r="B158" s="169"/>
      <c r="C158" s="748"/>
      <c r="D158" s="753"/>
      <c r="E158" s="733"/>
      <c r="F158" s="733"/>
      <c r="G158" s="733"/>
      <c r="H158" s="733"/>
      <c r="I158" s="44">
        <f>H158-G158</f>
        <v>0</v>
      </c>
      <c r="J158" s="124" t="str">
        <f>IF(I158=0,"",I158/H158)</f>
        <v/>
      </c>
      <c r="K158" s="735"/>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1">SUM(C161:C161)</f>
        <v>0</v>
      </c>
      <c r="D160" s="577">
        <f t="shared" si="31"/>
        <v>0</v>
      </c>
      <c r="E160" s="578">
        <f t="shared" si="31"/>
        <v>0</v>
      </c>
      <c r="F160" s="578">
        <f t="shared" si="31"/>
        <v>0</v>
      </c>
      <c r="G160" s="578">
        <f t="shared" si="31"/>
        <v>0</v>
      </c>
      <c r="H160" s="578">
        <f t="shared" si="31"/>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t="s">
        <v>1326</v>
      </c>
      <c r="K162" s="144"/>
    </row>
    <row r="163" spans="1:11" ht="12.75" customHeight="1" x14ac:dyDescent="0.25">
      <c r="A163" s="549" t="s">
        <v>1325</v>
      </c>
      <c r="B163" s="169"/>
      <c r="C163" s="576">
        <f t="shared" ref="C163:H163" si="32">SUM(C164:C164)</f>
        <v>0</v>
      </c>
      <c r="D163" s="577">
        <f t="shared" si="32"/>
        <v>0</v>
      </c>
      <c r="E163" s="578">
        <f t="shared" si="32"/>
        <v>0</v>
      </c>
      <c r="F163" s="578">
        <f t="shared" si="32"/>
        <v>0</v>
      </c>
      <c r="G163" s="578">
        <f t="shared" si="32"/>
        <v>0</v>
      </c>
      <c r="H163" s="578">
        <f t="shared" si="32"/>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881</v>
      </c>
      <c r="B166" s="236">
        <v>1</v>
      </c>
      <c r="C166" s="112">
        <f t="shared" ref="C166:H166" si="33">C7+C75+C103+C110+C117+C135+C138+C148+C151+C154+C157+C160+C163</f>
        <v>0</v>
      </c>
      <c r="D166" s="271">
        <f t="shared" si="33"/>
        <v>15200000</v>
      </c>
      <c r="E166" s="55">
        <f t="shared" si="33"/>
        <v>25200000</v>
      </c>
      <c r="F166" s="55">
        <f t="shared" si="33"/>
        <v>2606631.64</v>
      </c>
      <c r="G166" s="55">
        <f t="shared" si="33"/>
        <v>20036234.520000003</v>
      </c>
      <c r="H166" s="55">
        <f t="shared" si="33"/>
        <v>12600000</v>
      </c>
      <c r="I166" s="55">
        <f>H166-G166</f>
        <v>-7436234.5200000033</v>
      </c>
      <c r="J166" s="290">
        <f>IF(I166=0,"",I166/H166)</f>
        <v>-0.59017734285714307</v>
      </c>
      <c r="K166" s="235">
        <f>K7+K75+K103+K110+K117+K135+K138+K148+K151+K154+K157+K160+K163</f>
        <v>25200000</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1330</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C166+SC13a!C166+SC13e!C166-'C5-Capex'!C40</f>
        <v>0</v>
      </c>
      <c r="D171" s="135">
        <f>D166+SC13a!D166+SC13e!D166-'C5-Capex'!D40</f>
        <v>0</v>
      </c>
      <c r="E171" s="135">
        <f>E166+SC13a!E166+SC13e!E166-'C5-Capex'!E40</f>
        <v>0</v>
      </c>
      <c r="F171" s="135">
        <f>F166+SC13a!F166+SC13e!F166-'C5-Capex'!F40</f>
        <v>0</v>
      </c>
      <c r="G171" s="135">
        <f>G166+SC13a!G166+SC13e!G166-'C5-Capex'!G40</f>
        <v>0</v>
      </c>
      <c r="H171" s="135">
        <f>H166+SC13a!H166+SC13e!H166-'C5-Capex'!H40</f>
        <v>0</v>
      </c>
      <c r="I171" s="135"/>
      <c r="J171" s="135"/>
      <c r="K171" s="135">
        <f>K166+SC13a!K166+SC13e!K166-'C5-Capex'!K40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honeticPr fontId="2"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2"/>
  </sheetPr>
  <dimension ref="A1:L205"/>
  <sheetViews>
    <sheetView showGridLines="0" workbookViewId="0">
      <pane xSplit="2" ySplit="4" topLeftCell="C143" activePane="bottomRight" state="frozen"/>
      <selection pane="topRight"/>
      <selection pane="bottomLeft"/>
      <selection pane="bottomRight" activeCell="G140" sqref="G140"/>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57" t="str">
        <f>muni&amp; " - "&amp;S71Sc&amp; " - "&amp;Head57</f>
        <v>KZN225 Msunduzi - Supporting Table SC13c Consolidated Monthly Budget Statement - expenditure on repairs and maintenance by asset class - Mid-Year Assessment</v>
      </c>
      <c r="B1" s="1057"/>
      <c r="C1" s="1057"/>
      <c r="D1" s="1057"/>
      <c r="E1" s="1057"/>
      <c r="F1" s="1057"/>
      <c r="G1" s="1057"/>
      <c r="H1" s="1057"/>
      <c r="I1" s="1057"/>
      <c r="J1" s="1057"/>
      <c r="K1" s="1057"/>
    </row>
    <row r="2" spans="1:11" x14ac:dyDescent="0.25">
      <c r="A2" s="1042" t="str">
        <f>desc</f>
        <v>Description</v>
      </c>
      <c r="B2" s="1035" t="str">
        <f>head27</f>
        <v>Ref</v>
      </c>
      <c r="C2" s="139" t="str">
        <f>Head1</f>
        <v>2019/20</v>
      </c>
      <c r="D2" s="245" t="str">
        <f>Head2</f>
        <v>Budget Year 2020/21</v>
      </c>
      <c r="E2" s="229"/>
      <c r="F2" s="229"/>
      <c r="G2" s="229"/>
      <c r="H2" s="229"/>
      <c r="I2" s="229"/>
      <c r="J2" s="229"/>
      <c r="K2" s="230"/>
    </row>
    <row r="3" spans="1:11" ht="25.5" x14ac:dyDescent="0.25">
      <c r="A3" s="1043"/>
      <c r="B3" s="1046"/>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883</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182809088.18959922</v>
      </c>
      <c r="E7" s="102">
        <f t="shared" si="0"/>
        <v>182809088.18959922</v>
      </c>
      <c r="F7" s="102">
        <f t="shared" si="0"/>
        <v>3266560.84</v>
      </c>
      <c r="G7" s="102">
        <f t="shared" si="0"/>
        <v>30626987.82</v>
      </c>
      <c r="H7" s="102">
        <f t="shared" si="0"/>
        <v>91404544.094799608</v>
      </c>
      <c r="I7" s="101">
        <f t="shared" ref="I7:I166" si="1">H7-G7</f>
        <v>60777556.274799608</v>
      </c>
      <c r="J7" s="579">
        <f t="shared" ref="J7:J166" si="2">IF(I7=0,"",I7/H7)</f>
        <v>0.6649292644768795</v>
      </c>
      <c r="K7" s="603">
        <f>K8+K13+K17+K27+K38+K45+K53+K63+K69</f>
        <v>182809088.18959922</v>
      </c>
    </row>
    <row r="8" spans="1:11" ht="12.75" customHeight="1" x14ac:dyDescent="0.25">
      <c r="A8" s="518" t="s">
        <v>1216</v>
      </c>
      <c r="B8" s="169"/>
      <c r="C8" s="677">
        <f t="shared" ref="C8:H8" si="3">SUM(C9:C12)</f>
        <v>0</v>
      </c>
      <c r="D8" s="609">
        <f t="shared" si="3"/>
        <v>67377416.652851462</v>
      </c>
      <c r="E8" s="608">
        <f t="shared" si="3"/>
        <v>67377416.652851462</v>
      </c>
      <c r="F8" s="608">
        <f t="shared" si="3"/>
        <v>0</v>
      </c>
      <c r="G8" s="608">
        <f t="shared" si="3"/>
        <v>0</v>
      </c>
      <c r="H8" s="608">
        <f t="shared" si="3"/>
        <v>33688708.326425731</v>
      </c>
      <c r="I8" s="258">
        <f t="shared" si="1"/>
        <v>33688708.326425731</v>
      </c>
      <c r="J8" s="575">
        <f t="shared" si="2"/>
        <v>1</v>
      </c>
      <c r="K8" s="610">
        <f>SUM(K9:K12)</f>
        <v>67377416.652851462</v>
      </c>
    </row>
    <row r="9" spans="1:11" ht="12.75" customHeight="1" x14ac:dyDescent="0.25">
      <c r="A9" s="574" t="s">
        <v>168</v>
      </c>
      <c r="B9" s="169"/>
      <c r="C9" s="748"/>
      <c r="D9" s="745">
        <v>67377416.652851462</v>
      </c>
      <c r="E9" s="733">
        <v>67377416.652851462</v>
      </c>
      <c r="F9" s="733"/>
      <c r="G9" s="733"/>
      <c r="H9" s="733">
        <f>E9/12*6</f>
        <v>33688708.326425731</v>
      </c>
      <c r="I9" s="258">
        <f t="shared" si="1"/>
        <v>33688708.326425731</v>
      </c>
      <c r="J9" s="575">
        <f t="shared" si="2"/>
        <v>1</v>
      </c>
      <c r="K9" s="735">
        <f>E9</f>
        <v>67377416.652851462</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72368461.652195498</v>
      </c>
      <c r="E17" s="408">
        <f t="shared" si="5"/>
        <v>72368461.652195498</v>
      </c>
      <c r="F17" s="408">
        <f t="shared" si="5"/>
        <v>3266560.84</v>
      </c>
      <c r="G17" s="408">
        <f t="shared" si="5"/>
        <v>30626987.82</v>
      </c>
      <c r="H17" s="408">
        <f t="shared" si="5"/>
        <v>36184230.826097749</v>
      </c>
      <c r="I17" s="258">
        <f t="shared" si="1"/>
        <v>5557243.0060977489</v>
      </c>
      <c r="J17" s="575">
        <f t="shared" si="2"/>
        <v>0.15358190237084179</v>
      </c>
      <c r="K17" s="642">
        <f>SUM(K18:K26)</f>
        <v>72368461.652195498</v>
      </c>
    </row>
    <row r="18" spans="1:11" ht="12.75" customHeight="1" x14ac:dyDescent="0.25">
      <c r="A18" s="574" t="s">
        <v>1225</v>
      </c>
      <c r="B18" s="169"/>
      <c r="C18" s="748"/>
      <c r="D18" s="745">
        <v>72368461.652195498</v>
      </c>
      <c r="E18" s="733">
        <v>72368461.652195498</v>
      </c>
      <c r="F18" s="733"/>
      <c r="G18" s="733"/>
      <c r="H18" s="733">
        <f>E18/12*6</f>
        <v>36184230.826097749</v>
      </c>
      <c r="I18" s="258">
        <f t="shared" si="1"/>
        <v>36184230.826097749</v>
      </c>
      <c r="J18" s="575">
        <f t="shared" si="2"/>
        <v>1</v>
      </c>
      <c r="K18" s="735">
        <f>E18</f>
        <v>72368461.652195498</v>
      </c>
    </row>
    <row r="19" spans="1:11" ht="12.75" customHeight="1" x14ac:dyDescent="0.25">
      <c r="A19" s="574" t="s">
        <v>1226</v>
      </c>
      <c r="B19" s="169"/>
      <c r="C19" s="748"/>
      <c r="D19" s="745"/>
      <c r="E19" s="733"/>
      <c r="F19" s="733">
        <v>401899.27999999991</v>
      </c>
      <c r="G19" s="733">
        <v>6591286.9699999997</v>
      </c>
      <c r="H19" s="733"/>
      <c r="I19" s="258">
        <f t="shared" si="1"/>
        <v>-6591286.9699999997</v>
      </c>
      <c r="J19" s="575" t="e">
        <f t="shared" si="2"/>
        <v>#DIV/0!</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v>81870.570000000007</v>
      </c>
      <c r="G22" s="733">
        <v>960268.27000000014</v>
      </c>
      <c r="H22" s="733"/>
      <c r="I22" s="258">
        <f t="shared" si="1"/>
        <v>-960268.27000000014</v>
      </c>
      <c r="J22" s="575" t="e">
        <f t="shared" si="2"/>
        <v>#DIV/0!</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v>2782790.9899999998</v>
      </c>
      <c r="G25" s="733">
        <v>23075432.579999998</v>
      </c>
      <c r="H25" s="733"/>
      <c r="I25" s="258">
        <f t="shared" si="1"/>
        <v>-23075432.579999998</v>
      </c>
      <c r="J25" s="575" t="e">
        <f t="shared" si="2"/>
        <v>#DIV/0!</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22149634.806888912</v>
      </c>
      <c r="E27" s="408">
        <f t="shared" si="6"/>
        <v>22149634.806888912</v>
      </c>
      <c r="F27" s="408">
        <f t="shared" si="6"/>
        <v>0</v>
      </c>
      <c r="G27" s="408">
        <f t="shared" si="6"/>
        <v>0</v>
      </c>
      <c r="H27" s="408">
        <f t="shared" si="6"/>
        <v>11074817.403444456</v>
      </c>
      <c r="I27" s="258">
        <f t="shared" si="1"/>
        <v>11074817.403444456</v>
      </c>
      <c r="J27" s="575">
        <f t="shared" si="2"/>
        <v>1</v>
      </c>
      <c r="K27" s="642">
        <f>SUM(K28:K37)</f>
        <v>22149634.806888912</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c r="F30" s="733"/>
      <c r="G30" s="733"/>
      <c r="H30" s="733"/>
      <c r="I30" s="258">
        <f t="shared" si="1"/>
        <v>0</v>
      </c>
      <c r="J30" s="575" t="str">
        <f t="shared" si="2"/>
        <v/>
      </c>
      <c r="K30" s="735"/>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v>22149634.806888912</v>
      </c>
      <c r="E34" s="733">
        <v>22149634.806888912</v>
      </c>
      <c r="F34" s="733"/>
      <c r="G34" s="733"/>
      <c r="H34" s="733">
        <f>E34/12*6</f>
        <v>11074817.403444456</v>
      </c>
      <c r="I34" s="258">
        <f t="shared" si="1"/>
        <v>11074817.403444456</v>
      </c>
      <c r="J34" s="575">
        <f t="shared" si="2"/>
        <v>1</v>
      </c>
      <c r="K34" s="735">
        <f>E34</f>
        <v>22149634.806888912</v>
      </c>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8775393.2630056739</v>
      </c>
      <c r="E38" s="408">
        <f t="shared" si="7"/>
        <v>8775393.2630056739</v>
      </c>
      <c r="F38" s="408">
        <f t="shared" si="7"/>
        <v>0</v>
      </c>
      <c r="G38" s="408">
        <f t="shared" si="7"/>
        <v>0</v>
      </c>
      <c r="H38" s="408">
        <f t="shared" si="7"/>
        <v>4387696.6315028369</v>
      </c>
      <c r="I38" s="258">
        <f t="shared" si="1"/>
        <v>4387696.6315028369</v>
      </c>
      <c r="J38" s="575">
        <f t="shared" si="2"/>
        <v>1</v>
      </c>
      <c r="K38" s="642">
        <f>SUM(K39:K44)</f>
        <v>8775393.2630056739</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c r="G40" s="733"/>
      <c r="H40" s="733"/>
      <c r="I40" s="258">
        <f t="shared" si="1"/>
        <v>0</v>
      </c>
      <c r="J40" s="575" t="str">
        <f t="shared" si="2"/>
        <v/>
      </c>
      <c r="K40" s="735"/>
    </row>
    <row r="41" spans="1:11" ht="12.75" customHeight="1" x14ac:dyDescent="0.25">
      <c r="A41" s="574" t="s">
        <v>1245</v>
      </c>
      <c r="B41" s="169"/>
      <c r="C41" s="748"/>
      <c r="D41" s="745">
        <v>8775393.2630056739</v>
      </c>
      <c r="E41" s="733">
        <v>8775393.2630056739</v>
      </c>
      <c r="F41" s="733"/>
      <c r="G41" s="733"/>
      <c r="H41" s="733">
        <f>E41/12*6</f>
        <v>4387696.6315028369</v>
      </c>
      <c r="I41" s="258">
        <f t="shared" si="1"/>
        <v>4387696.6315028369</v>
      </c>
      <c r="J41" s="575">
        <f t="shared" si="2"/>
        <v>1</v>
      </c>
      <c r="K41" s="735">
        <f>E41</f>
        <v>8775393.2630056739</v>
      </c>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8">SUM(C46:C52)</f>
        <v>0</v>
      </c>
      <c r="D45" s="649">
        <f t="shared" si="8"/>
        <v>12138181.814657664</v>
      </c>
      <c r="E45" s="408">
        <f t="shared" si="8"/>
        <v>12138181.814657664</v>
      </c>
      <c r="F45" s="408">
        <f t="shared" si="8"/>
        <v>0</v>
      </c>
      <c r="G45" s="408">
        <f t="shared" si="8"/>
        <v>0</v>
      </c>
      <c r="H45" s="408">
        <f t="shared" si="8"/>
        <v>6069090.907328832</v>
      </c>
      <c r="I45" s="258">
        <f t="shared" si="1"/>
        <v>6069090.907328832</v>
      </c>
      <c r="J45" s="575">
        <f t="shared" si="2"/>
        <v>1</v>
      </c>
      <c r="K45" s="642">
        <f>SUM(K46:K52)</f>
        <v>12138181.814657664</v>
      </c>
    </row>
    <row r="46" spans="1:11" ht="12.75" customHeight="1" x14ac:dyDescent="0.25">
      <c r="A46" s="574" t="s">
        <v>1249</v>
      </c>
      <c r="B46" s="169"/>
      <c r="C46" s="748"/>
      <c r="D46" s="745">
        <v>12138181.814657664</v>
      </c>
      <c r="E46" s="733">
        <v>12138181.814657664</v>
      </c>
      <c r="F46" s="733"/>
      <c r="G46" s="733"/>
      <c r="H46" s="733">
        <f>E46/12*6</f>
        <v>6069090.907328832</v>
      </c>
      <c r="I46" s="258">
        <f t="shared" si="1"/>
        <v>6069090.907328832</v>
      </c>
      <c r="J46" s="575">
        <f t="shared" si="2"/>
        <v>1</v>
      </c>
      <c r="K46" s="735">
        <f>E46</f>
        <v>12138181.814657664</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9">SUM(C54:C62)</f>
        <v>0</v>
      </c>
      <c r="D53" s="649">
        <f t="shared" si="9"/>
        <v>0</v>
      </c>
      <c r="E53" s="408">
        <f t="shared" si="9"/>
        <v>0</v>
      </c>
      <c r="F53" s="408">
        <f t="shared" si="9"/>
        <v>0</v>
      </c>
      <c r="G53" s="408">
        <f t="shared" si="9"/>
        <v>0</v>
      </c>
      <c r="H53" s="408">
        <f t="shared" si="9"/>
        <v>0</v>
      </c>
      <c r="I53" s="258">
        <f t="shared" si="1"/>
        <v>0</v>
      </c>
      <c r="J53" s="575" t="str">
        <f t="shared" si="2"/>
        <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0">SUM(C64:C68)</f>
        <v>0</v>
      </c>
      <c r="D63" s="649">
        <f t="shared" si="10"/>
        <v>0</v>
      </c>
      <c r="E63" s="408">
        <f t="shared" si="10"/>
        <v>0</v>
      </c>
      <c r="F63" s="408">
        <f t="shared" si="10"/>
        <v>0</v>
      </c>
      <c r="G63" s="408">
        <f t="shared" si="10"/>
        <v>0</v>
      </c>
      <c r="H63" s="408">
        <f t="shared" si="10"/>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1">SUM(C70:C73)</f>
        <v>0</v>
      </c>
      <c r="D69" s="649">
        <f t="shared" si="11"/>
        <v>0</v>
      </c>
      <c r="E69" s="408">
        <f t="shared" si="11"/>
        <v>0</v>
      </c>
      <c r="F69" s="408">
        <f t="shared" si="11"/>
        <v>0</v>
      </c>
      <c r="G69" s="408">
        <f t="shared" si="11"/>
        <v>0</v>
      </c>
      <c r="H69" s="408">
        <f t="shared" si="11"/>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2">+C76+C99</f>
        <v>0</v>
      </c>
      <c r="D75" s="577">
        <f t="shared" si="12"/>
        <v>23512721.348855015</v>
      </c>
      <c r="E75" s="578">
        <f t="shared" si="12"/>
        <v>23512721.348855015</v>
      </c>
      <c r="F75" s="578">
        <f t="shared" si="12"/>
        <v>0</v>
      </c>
      <c r="G75" s="578">
        <f t="shared" si="12"/>
        <v>0</v>
      </c>
      <c r="H75" s="578">
        <f t="shared" si="12"/>
        <v>11756360.674427507</v>
      </c>
      <c r="I75" s="578">
        <f t="shared" si="1"/>
        <v>11756360.674427507</v>
      </c>
      <c r="J75" s="579">
        <f t="shared" si="2"/>
        <v>1</v>
      </c>
      <c r="K75" s="580">
        <f>+K76+K99</f>
        <v>23512721.348855015</v>
      </c>
    </row>
    <row r="76" spans="1:11" ht="12.75" customHeight="1" x14ac:dyDescent="0.25">
      <c r="A76" s="518" t="s">
        <v>1268</v>
      </c>
      <c r="B76" s="169"/>
      <c r="C76" s="648">
        <f t="shared" ref="C76:H76" si="13">SUM(C77:C98)</f>
        <v>0</v>
      </c>
      <c r="D76" s="649">
        <f t="shared" si="13"/>
        <v>23512721.348855015</v>
      </c>
      <c r="E76" s="408">
        <f t="shared" si="13"/>
        <v>23512721.348855015</v>
      </c>
      <c r="F76" s="408">
        <f t="shared" si="13"/>
        <v>0</v>
      </c>
      <c r="G76" s="408">
        <f t="shared" si="13"/>
        <v>0</v>
      </c>
      <c r="H76" s="408">
        <f t="shared" si="13"/>
        <v>11756360.674427507</v>
      </c>
      <c r="I76" s="258">
        <f t="shared" si="1"/>
        <v>11756360.674427507</v>
      </c>
      <c r="J76" s="575">
        <f t="shared" si="2"/>
        <v>1</v>
      </c>
      <c r="K76" s="642">
        <f>SUM(K77:K98)</f>
        <v>23512721.348855015</v>
      </c>
    </row>
    <row r="77" spans="1:11" ht="12.75" customHeight="1" x14ac:dyDescent="0.25">
      <c r="A77" s="574" t="s">
        <v>1269</v>
      </c>
      <c r="B77" s="169"/>
      <c r="C77" s="748"/>
      <c r="D77" s="753">
        <v>927507.91476110253</v>
      </c>
      <c r="E77" s="733">
        <v>927507.91476110253</v>
      </c>
      <c r="F77" s="733"/>
      <c r="G77" s="733"/>
      <c r="H77" s="733">
        <f>E77/12*6</f>
        <v>463753.95738055126</v>
      </c>
      <c r="I77" s="44">
        <f t="shared" si="1"/>
        <v>463753.95738055126</v>
      </c>
      <c r="J77" s="124">
        <f t="shared" si="2"/>
        <v>1</v>
      </c>
      <c r="K77" s="735">
        <f>E77</f>
        <v>927507.91476110253</v>
      </c>
    </row>
    <row r="78" spans="1:11" ht="12.75" customHeight="1" x14ac:dyDescent="0.25">
      <c r="A78" s="574" t="s">
        <v>1270</v>
      </c>
      <c r="B78" s="169"/>
      <c r="C78" s="748"/>
      <c r="D78" s="753"/>
      <c r="E78" s="733"/>
      <c r="F78" s="733"/>
      <c r="G78" s="733"/>
      <c r="H78" s="733"/>
      <c r="I78" s="44">
        <f t="shared" si="1"/>
        <v>0</v>
      </c>
      <c r="J78" s="124" t="str">
        <f t="shared" si="2"/>
        <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v>462304.07259779621</v>
      </c>
      <c r="E80" s="733">
        <v>462304.07259779621</v>
      </c>
      <c r="F80" s="733"/>
      <c r="G80" s="733"/>
      <c r="H80" s="733">
        <f>E80/12*6</f>
        <v>231152.03629889811</v>
      </c>
      <c r="I80" s="44">
        <f t="shared" si="1"/>
        <v>231152.03629889811</v>
      </c>
      <c r="J80" s="124">
        <f t="shared" si="2"/>
        <v>1</v>
      </c>
      <c r="K80" s="735">
        <f>E80</f>
        <v>462304.07259779621</v>
      </c>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v>877730.44747647608</v>
      </c>
      <c r="E86" s="733">
        <v>877730.44747647608</v>
      </c>
      <c r="F86" s="733"/>
      <c r="G86" s="733"/>
      <c r="H86" s="733">
        <f>E86/12*6</f>
        <v>438865.22373823804</v>
      </c>
      <c r="I86" s="44">
        <f t="shared" si="1"/>
        <v>438865.22373823804</v>
      </c>
      <c r="J86" s="124">
        <f t="shared" si="2"/>
        <v>1</v>
      </c>
      <c r="K86" s="735">
        <f>E86</f>
        <v>877730.44747647608</v>
      </c>
    </row>
    <row r="87" spans="1:11" ht="12.75" customHeight="1" x14ac:dyDescent="0.25">
      <c r="A87" s="574" t="s">
        <v>1277</v>
      </c>
      <c r="B87" s="169"/>
      <c r="C87" s="748"/>
      <c r="D87" s="753"/>
      <c r="E87" s="733"/>
      <c r="F87" s="733"/>
      <c r="G87" s="733"/>
      <c r="H87" s="733"/>
      <c r="I87" s="44">
        <f t="shared" si="1"/>
        <v>0</v>
      </c>
      <c r="J87" s="124" t="str">
        <f t="shared" si="2"/>
        <v/>
      </c>
      <c r="K87" s="735"/>
    </row>
    <row r="88" spans="1:11" ht="12.75" customHeight="1" x14ac:dyDescent="0.25">
      <c r="A88" s="574" t="s">
        <v>166</v>
      </c>
      <c r="B88" s="169"/>
      <c r="C88" s="748"/>
      <c r="D88" s="753">
        <v>3810451.939867402</v>
      </c>
      <c r="E88" s="733">
        <v>3810451.939867402</v>
      </c>
      <c r="F88" s="733"/>
      <c r="G88" s="733"/>
      <c r="H88" s="733">
        <f>E88/12*6</f>
        <v>1905225.969933701</v>
      </c>
      <c r="I88" s="44">
        <f t="shared" si="1"/>
        <v>1905225.969933701</v>
      </c>
      <c r="J88" s="124">
        <f t="shared" si="2"/>
        <v>1</v>
      </c>
      <c r="K88" s="735">
        <f>E88</f>
        <v>3810451.939867402</v>
      </c>
    </row>
    <row r="89" spans="1:11" ht="12.75" customHeight="1" x14ac:dyDescent="0.25">
      <c r="A89" s="574" t="s">
        <v>1278</v>
      </c>
      <c r="B89" s="169"/>
      <c r="C89" s="748"/>
      <c r="D89" s="753"/>
      <c r="E89" s="733"/>
      <c r="F89" s="733"/>
      <c r="G89" s="733"/>
      <c r="H89" s="733"/>
      <c r="I89" s="44">
        <f t="shared" si="1"/>
        <v>0</v>
      </c>
      <c r="J89" s="124" t="str">
        <f t="shared" si="2"/>
        <v/>
      </c>
      <c r="K89" s="735"/>
    </row>
    <row r="90" spans="1:11" ht="12.75" customHeight="1" x14ac:dyDescent="0.25">
      <c r="A90" s="574" t="s">
        <v>1279</v>
      </c>
      <c r="B90" s="169"/>
      <c r="C90" s="748"/>
      <c r="D90" s="753">
        <v>12558212.863144819</v>
      </c>
      <c r="E90" s="733">
        <v>12558212.863144819</v>
      </c>
      <c r="F90" s="733"/>
      <c r="G90" s="733"/>
      <c r="H90" s="733">
        <f>E90/12*6</f>
        <v>6279106.4315724093</v>
      </c>
      <c r="I90" s="44">
        <f t="shared" si="1"/>
        <v>6279106.4315724093</v>
      </c>
      <c r="J90" s="124">
        <f t="shared" si="2"/>
        <v>1</v>
      </c>
      <c r="K90" s="735">
        <f>E90</f>
        <v>12558212.863144819</v>
      </c>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v>4876514.1110074176</v>
      </c>
      <c r="E93" s="733">
        <v>4876514.1110074176</v>
      </c>
      <c r="F93" s="733"/>
      <c r="G93" s="733"/>
      <c r="H93" s="733">
        <f>E93/12*6</f>
        <v>2438257.0555037088</v>
      </c>
      <c r="I93" s="44">
        <f t="shared" si="1"/>
        <v>2438257.0555037088</v>
      </c>
      <c r="J93" s="124">
        <f t="shared" si="2"/>
        <v>1</v>
      </c>
      <c r="K93" s="735">
        <f>E93</f>
        <v>4876514.1110074176</v>
      </c>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4">SUM(C100:C102)</f>
        <v>0</v>
      </c>
      <c r="D99" s="649">
        <f t="shared" si="14"/>
        <v>0</v>
      </c>
      <c r="E99" s="408">
        <f t="shared" si="14"/>
        <v>0</v>
      </c>
      <c r="F99" s="408">
        <f t="shared" si="14"/>
        <v>0</v>
      </c>
      <c r="G99" s="408">
        <f t="shared" si="14"/>
        <v>0</v>
      </c>
      <c r="H99" s="408">
        <f t="shared" si="14"/>
        <v>0</v>
      </c>
      <c r="I99" s="258">
        <f t="shared" si="1"/>
        <v>0</v>
      </c>
      <c r="J99" s="575" t="str">
        <f t="shared" si="2"/>
        <v/>
      </c>
      <c r="K99" s="642">
        <f>SUM(K100:K102)</f>
        <v>0</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c r="F101" s="733"/>
      <c r="G101" s="733"/>
      <c r="H101" s="733"/>
      <c r="I101" s="44">
        <f>H101-G101</f>
        <v>0</v>
      </c>
      <c r="J101" s="124" t="str">
        <f>IF(I101=0,"",I101/H101)</f>
        <v/>
      </c>
      <c r="K101" s="735"/>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5">SUM(C104:C108)</f>
        <v>0</v>
      </c>
      <c r="D103" s="264">
        <f t="shared" si="15"/>
        <v>26982004.797416411</v>
      </c>
      <c r="E103" s="99">
        <f t="shared" si="15"/>
        <v>26982004.797416411</v>
      </c>
      <c r="F103" s="99">
        <f t="shared" si="15"/>
        <v>0</v>
      </c>
      <c r="G103" s="99">
        <f t="shared" si="15"/>
        <v>0</v>
      </c>
      <c r="H103" s="99">
        <f t="shared" si="15"/>
        <v>13491002.398708206</v>
      </c>
      <c r="I103" s="99">
        <f t="shared" si="1"/>
        <v>13491002.398708206</v>
      </c>
      <c r="J103" s="324">
        <f t="shared" si="2"/>
        <v>1</v>
      </c>
      <c r="K103" s="195">
        <f>SUM(K104:K108)</f>
        <v>26982004.797416411</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v>26982004.797416411</v>
      </c>
      <c r="E105" s="733">
        <v>26982004.797416411</v>
      </c>
      <c r="F105" s="733"/>
      <c r="G105" s="733"/>
      <c r="H105" s="733">
        <f>E105/12*6</f>
        <v>13491002.398708206</v>
      </c>
      <c r="I105" s="44">
        <f t="shared" si="1"/>
        <v>13491002.398708206</v>
      </c>
      <c r="J105" s="124">
        <f t="shared" si="2"/>
        <v>1</v>
      </c>
      <c r="K105" s="735">
        <f>E105</f>
        <v>26982004.797416411</v>
      </c>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c r="E108" s="733"/>
      <c r="F108" s="733"/>
      <c r="G108" s="733"/>
      <c r="H108" s="733"/>
      <c r="I108" s="44">
        <f t="shared" si="1"/>
        <v>0</v>
      </c>
      <c r="J108" s="124" t="str">
        <f t="shared" si="2"/>
        <v/>
      </c>
      <c r="K108" s="735"/>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6">+C111+C114</f>
        <v>0</v>
      </c>
      <c r="D110" s="577">
        <f t="shared" si="16"/>
        <v>0</v>
      </c>
      <c r="E110" s="578">
        <f t="shared" si="16"/>
        <v>0</v>
      </c>
      <c r="F110" s="578">
        <f t="shared" si="16"/>
        <v>0</v>
      </c>
      <c r="G110" s="578">
        <f t="shared" si="16"/>
        <v>0</v>
      </c>
      <c r="H110" s="578">
        <f t="shared" si="16"/>
        <v>0</v>
      </c>
      <c r="I110" s="99">
        <f t="shared" si="1"/>
        <v>0</v>
      </c>
      <c r="J110" s="324" t="str">
        <f t="shared" si="2"/>
        <v/>
      </c>
      <c r="K110" s="580">
        <f>+K111+K114</f>
        <v>0</v>
      </c>
    </row>
    <row r="111" spans="1:11" ht="12.75" customHeight="1" x14ac:dyDescent="0.25">
      <c r="A111" s="518" t="s">
        <v>1294</v>
      </c>
      <c r="B111" s="169"/>
      <c r="C111" s="648">
        <f t="shared" ref="C111:H111" si="17">SUM(C112:C113)</f>
        <v>0</v>
      </c>
      <c r="D111" s="649">
        <f t="shared" si="17"/>
        <v>0</v>
      </c>
      <c r="E111" s="408">
        <f t="shared" si="17"/>
        <v>0</v>
      </c>
      <c r="F111" s="408">
        <f t="shared" si="17"/>
        <v>0</v>
      </c>
      <c r="G111" s="408">
        <f t="shared" si="17"/>
        <v>0</v>
      </c>
      <c r="H111" s="408">
        <f t="shared" si="17"/>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18">SUM(C115:C116)</f>
        <v>0</v>
      </c>
      <c r="D114" s="649">
        <f t="shared" si="18"/>
        <v>0</v>
      </c>
      <c r="E114" s="408">
        <f t="shared" si="18"/>
        <v>0</v>
      </c>
      <c r="F114" s="408">
        <f t="shared" si="18"/>
        <v>0</v>
      </c>
      <c r="G114" s="408">
        <f t="shared" si="18"/>
        <v>0</v>
      </c>
      <c r="H114" s="408">
        <f t="shared" si="18"/>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19">+C118+C130</f>
        <v>0</v>
      </c>
      <c r="D117" s="577">
        <f t="shared" si="19"/>
        <v>0</v>
      </c>
      <c r="E117" s="578">
        <f t="shared" si="19"/>
        <v>0</v>
      </c>
      <c r="F117" s="578">
        <f t="shared" si="19"/>
        <v>0</v>
      </c>
      <c r="G117" s="578">
        <f t="shared" si="19"/>
        <v>0</v>
      </c>
      <c r="H117" s="578">
        <f t="shared" si="19"/>
        <v>0</v>
      </c>
      <c r="I117" s="578">
        <f t="shared" si="1"/>
        <v>0</v>
      </c>
      <c r="J117" s="579" t="str">
        <f t="shared" si="2"/>
        <v/>
      </c>
      <c r="K117" s="580">
        <f>+K118+K130</f>
        <v>0</v>
      </c>
    </row>
    <row r="118" spans="1:11" ht="12.75" customHeight="1" x14ac:dyDescent="0.25">
      <c r="A118" s="518" t="s">
        <v>1298</v>
      </c>
      <c r="B118" s="169"/>
      <c r="C118" s="648">
        <f t="shared" ref="C118:H118" si="20">SUM(C119:C129)</f>
        <v>0</v>
      </c>
      <c r="D118" s="649">
        <f t="shared" si="20"/>
        <v>0</v>
      </c>
      <c r="E118" s="408">
        <f t="shared" si="20"/>
        <v>0</v>
      </c>
      <c r="F118" s="408">
        <f t="shared" si="20"/>
        <v>0</v>
      </c>
      <c r="G118" s="408">
        <f t="shared" si="20"/>
        <v>0</v>
      </c>
      <c r="H118" s="408">
        <f t="shared" si="20"/>
        <v>0</v>
      </c>
      <c r="I118" s="258">
        <f t="shared" si="1"/>
        <v>0</v>
      </c>
      <c r="J118" s="575" t="str">
        <f t="shared" si="2"/>
        <v/>
      </c>
      <c r="K118" s="642">
        <f>SUM(K119:K129)</f>
        <v>0</v>
      </c>
    </row>
    <row r="119" spans="1:11" ht="12.75" customHeight="1" x14ac:dyDescent="0.25">
      <c r="A119" s="574" t="s">
        <v>1299</v>
      </c>
      <c r="B119" s="169"/>
      <c r="C119" s="748"/>
      <c r="D119" s="753"/>
      <c r="E119" s="733"/>
      <c r="F119" s="733"/>
      <c r="G119" s="733"/>
      <c r="H119" s="733"/>
      <c r="I119" s="44">
        <f t="shared" si="1"/>
        <v>0</v>
      </c>
      <c r="J119" s="124" t="str">
        <f t="shared" si="2"/>
        <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1">SUM(C131:C133)</f>
        <v>0</v>
      </c>
      <c r="D130" s="649">
        <f t="shared" si="21"/>
        <v>0</v>
      </c>
      <c r="E130" s="408">
        <f t="shared" si="21"/>
        <v>0</v>
      </c>
      <c r="F130" s="408">
        <f t="shared" si="21"/>
        <v>0</v>
      </c>
      <c r="G130" s="408">
        <f t="shared" si="21"/>
        <v>0</v>
      </c>
      <c r="H130" s="408">
        <f t="shared" si="21"/>
        <v>0</v>
      </c>
      <c r="I130" s="258">
        <f t="shared" si="1"/>
        <v>0</v>
      </c>
      <c r="J130" s="575" t="str">
        <f t="shared" si="2"/>
        <v/>
      </c>
      <c r="K130" s="642">
        <f>SUM(K131:K133)</f>
        <v>0</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2">SUM(C136:C136)</f>
        <v>0</v>
      </c>
      <c r="D135" s="577">
        <f t="shared" si="22"/>
        <v>0</v>
      </c>
      <c r="E135" s="578">
        <f t="shared" si="22"/>
        <v>0</v>
      </c>
      <c r="F135" s="578">
        <f t="shared" si="22"/>
        <v>0</v>
      </c>
      <c r="G135" s="578">
        <f t="shared" si="22"/>
        <v>0</v>
      </c>
      <c r="H135" s="578">
        <f t="shared" si="22"/>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3">IF(I137=0,"",I137/H137)</f>
        <v/>
      </c>
      <c r="K137" s="144"/>
    </row>
    <row r="138" spans="1:11" s="100" customFormat="1" ht="12.75" customHeight="1" x14ac:dyDescent="0.25">
      <c r="A138" s="549" t="s">
        <v>1312</v>
      </c>
      <c r="B138" s="171"/>
      <c r="C138" s="940">
        <f t="shared" ref="C138:H138" si="24">SUM(C139:C140)</f>
        <v>0</v>
      </c>
      <c r="D138" s="941">
        <f t="shared" si="24"/>
        <v>0</v>
      </c>
      <c r="E138" s="942">
        <f t="shared" si="24"/>
        <v>0</v>
      </c>
      <c r="F138" s="942">
        <f t="shared" si="24"/>
        <v>0</v>
      </c>
      <c r="G138" s="942">
        <f t="shared" si="24"/>
        <v>0</v>
      </c>
      <c r="H138" s="942">
        <f t="shared" si="24"/>
        <v>0</v>
      </c>
      <c r="I138" s="942">
        <f t="shared" ref="I138:I146" si="25">H138-G138</f>
        <v>0</v>
      </c>
      <c r="J138" s="324" t="str">
        <f t="shared" si="23"/>
        <v/>
      </c>
      <c r="K138" s="943">
        <f>SUM(K139:K140)</f>
        <v>0</v>
      </c>
    </row>
    <row r="139" spans="1:11" ht="12.75" customHeight="1" x14ac:dyDescent="0.25">
      <c r="A139" s="517" t="s">
        <v>1313</v>
      </c>
      <c r="B139" s="169"/>
      <c r="C139" s="748"/>
      <c r="D139" s="753"/>
      <c r="E139" s="733"/>
      <c r="F139" s="733"/>
      <c r="G139" s="733"/>
      <c r="H139" s="733"/>
      <c r="I139" s="44">
        <f t="shared" si="25"/>
        <v>0</v>
      </c>
      <c r="J139" s="124" t="str">
        <f t="shared" si="23"/>
        <v/>
      </c>
      <c r="K139" s="735"/>
    </row>
    <row r="140" spans="1:11" ht="12.75" customHeight="1" x14ac:dyDescent="0.25">
      <c r="A140" s="517" t="s">
        <v>1314</v>
      </c>
      <c r="B140" s="169"/>
      <c r="C140" s="648">
        <f t="shared" ref="C140:H140" si="26">SUM(C141:C146)</f>
        <v>0</v>
      </c>
      <c r="D140" s="649">
        <f t="shared" si="26"/>
        <v>0</v>
      </c>
      <c r="E140" s="408">
        <f t="shared" si="26"/>
        <v>0</v>
      </c>
      <c r="F140" s="408">
        <f t="shared" si="26"/>
        <v>0</v>
      </c>
      <c r="G140" s="408">
        <f t="shared" si="26"/>
        <v>0</v>
      </c>
      <c r="H140" s="408">
        <f t="shared" si="26"/>
        <v>0</v>
      </c>
      <c r="I140" s="258">
        <f t="shared" si="25"/>
        <v>0</v>
      </c>
      <c r="J140" s="575" t="str">
        <f t="shared" si="23"/>
        <v/>
      </c>
      <c r="K140" s="642">
        <f>SUM(K141:K146)</f>
        <v>0</v>
      </c>
    </row>
    <row r="141" spans="1:11" ht="12.75" customHeight="1" x14ac:dyDescent="0.25">
      <c r="A141" s="574" t="s">
        <v>1315</v>
      </c>
      <c r="B141" s="169"/>
      <c r="C141" s="748"/>
      <c r="D141" s="753"/>
      <c r="E141" s="733"/>
      <c r="F141" s="733"/>
      <c r="G141" s="733"/>
      <c r="H141" s="733"/>
      <c r="I141" s="44">
        <f t="shared" si="25"/>
        <v>0</v>
      </c>
      <c r="J141" s="124" t="str">
        <f t="shared" si="23"/>
        <v/>
      </c>
      <c r="K141" s="735"/>
    </row>
    <row r="142" spans="1:11" ht="12.75" customHeight="1" x14ac:dyDescent="0.25">
      <c r="A142" s="574" t="s">
        <v>1316</v>
      </c>
      <c r="B142" s="169"/>
      <c r="C142" s="748"/>
      <c r="D142" s="753"/>
      <c r="E142" s="733"/>
      <c r="F142" s="733"/>
      <c r="G142" s="733"/>
      <c r="H142" s="733"/>
      <c r="I142" s="44">
        <f t="shared" si="25"/>
        <v>0</v>
      </c>
      <c r="J142" s="124" t="str">
        <f t="shared" si="23"/>
        <v/>
      </c>
      <c r="K142" s="735"/>
    </row>
    <row r="143" spans="1:11" ht="12.75" customHeight="1" x14ac:dyDescent="0.25">
      <c r="A143" s="574" t="s">
        <v>1317</v>
      </c>
      <c r="B143" s="169"/>
      <c r="C143" s="748"/>
      <c r="D143" s="753"/>
      <c r="E143" s="733"/>
      <c r="F143" s="733"/>
      <c r="G143" s="733"/>
      <c r="H143" s="733"/>
      <c r="I143" s="44">
        <f t="shared" si="25"/>
        <v>0</v>
      </c>
      <c r="J143" s="124" t="str">
        <f t="shared" si="23"/>
        <v/>
      </c>
      <c r="K143" s="735"/>
    </row>
    <row r="144" spans="1:11" ht="12.75" customHeight="1" x14ac:dyDescent="0.25">
      <c r="A144" s="574" t="s">
        <v>1318</v>
      </c>
      <c r="B144" s="169"/>
      <c r="C144" s="748"/>
      <c r="D144" s="753"/>
      <c r="E144" s="733"/>
      <c r="F144" s="733"/>
      <c r="G144" s="733"/>
      <c r="H144" s="733"/>
      <c r="I144" s="44">
        <f t="shared" si="25"/>
        <v>0</v>
      </c>
      <c r="J144" s="124" t="str">
        <f t="shared" si="23"/>
        <v/>
      </c>
      <c r="K144" s="735"/>
    </row>
    <row r="145" spans="1:12" ht="12.75" customHeight="1" x14ac:dyDescent="0.25">
      <c r="A145" s="574" t="s">
        <v>1319</v>
      </c>
      <c r="B145" s="169"/>
      <c r="C145" s="748"/>
      <c r="D145" s="753"/>
      <c r="E145" s="733"/>
      <c r="F145" s="733"/>
      <c r="G145" s="733"/>
      <c r="H145" s="733"/>
      <c r="I145" s="44">
        <f t="shared" si="25"/>
        <v>0</v>
      </c>
      <c r="J145" s="124" t="str">
        <f t="shared" si="23"/>
        <v/>
      </c>
      <c r="K145" s="735"/>
    </row>
    <row r="146" spans="1:12" ht="12.75" customHeight="1" x14ac:dyDescent="0.25">
      <c r="A146" s="574" t="s">
        <v>1320</v>
      </c>
      <c r="B146" s="169"/>
      <c r="C146" s="748"/>
      <c r="D146" s="753"/>
      <c r="E146" s="733"/>
      <c r="F146" s="733"/>
      <c r="G146" s="733"/>
      <c r="H146" s="733"/>
      <c r="I146" s="44">
        <f t="shared" si="25"/>
        <v>0</v>
      </c>
      <c r="J146" s="124" t="str">
        <f t="shared" si="23"/>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7">SUM(C149:C149)</f>
        <v>0</v>
      </c>
      <c r="D148" s="577">
        <f t="shared" si="27"/>
        <v>0</v>
      </c>
      <c r="E148" s="578">
        <f t="shared" si="27"/>
        <v>0</v>
      </c>
      <c r="F148" s="578">
        <f t="shared" si="27"/>
        <v>0</v>
      </c>
      <c r="G148" s="578">
        <f t="shared" si="27"/>
        <v>0</v>
      </c>
      <c r="H148" s="578">
        <f t="shared" si="27"/>
        <v>0</v>
      </c>
      <c r="I148" s="578">
        <f>H148-G148</f>
        <v>0</v>
      </c>
      <c r="J148" s="324" t="str">
        <f>IF(I148=0,"",I148/H148)</f>
        <v/>
      </c>
      <c r="K148" s="580">
        <f>SUM(K149)</f>
        <v>0</v>
      </c>
    </row>
    <row r="149" spans="1:12" ht="12.75" customHeight="1" x14ac:dyDescent="0.25">
      <c r="A149" s="518" t="s">
        <v>1321</v>
      </c>
      <c r="B149" s="169"/>
      <c r="C149" s="748"/>
      <c r="D149" s="753"/>
      <c r="E149" s="733"/>
      <c r="F149" s="733"/>
      <c r="G149" s="733"/>
      <c r="H149" s="733"/>
      <c r="I149" s="44">
        <f>H149-G149</f>
        <v>0</v>
      </c>
      <c r="J149" s="124" t="str">
        <f>IF(I149=0,"",I149/H149)</f>
        <v/>
      </c>
      <c r="K149" s="735"/>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28">SUM(C152:C152)</f>
        <v>0</v>
      </c>
      <c r="D151" s="577">
        <f t="shared" si="28"/>
        <v>0</v>
      </c>
      <c r="E151" s="578">
        <f t="shared" si="28"/>
        <v>0</v>
      </c>
      <c r="F151" s="578">
        <f t="shared" si="28"/>
        <v>0</v>
      </c>
      <c r="G151" s="578">
        <f t="shared" si="28"/>
        <v>0</v>
      </c>
      <c r="H151" s="578">
        <f t="shared" si="28"/>
        <v>0</v>
      </c>
      <c r="I151" s="578">
        <f>H151-G151</f>
        <v>0</v>
      </c>
      <c r="J151" s="324" t="str">
        <f>IF(I151=0,"",I151/H151)</f>
        <v/>
      </c>
      <c r="K151" s="580">
        <f>SUM(K152)</f>
        <v>0</v>
      </c>
    </row>
    <row r="152" spans="1:12" ht="12.75" customHeight="1" x14ac:dyDescent="0.25">
      <c r="A152" s="518" t="s">
        <v>1322</v>
      </c>
      <c r="B152" s="169"/>
      <c r="C152" s="748"/>
      <c r="D152" s="753"/>
      <c r="E152" s="733"/>
      <c r="F152" s="733"/>
      <c r="G152" s="733"/>
      <c r="H152" s="733"/>
      <c r="I152" s="44">
        <f>H152-G152</f>
        <v>0</v>
      </c>
      <c r="J152" s="124" t="str">
        <f>IF(I152=0,"",I152/H152)</f>
        <v/>
      </c>
      <c r="K152" s="735"/>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29">SUM(C155:C155)</f>
        <v>0</v>
      </c>
      <c r="D154" s="577">
        <f t="shared" si="29"/>
        <v>0</v>
      </c>
      <c r="E154" s="578">
        <f t="shared" si="29"/>
        <v>0</v>
      </c>
      <c r="F154" s="578">
        <f t="shared" si="29"/>
        <v>-2156877.8800000004</v>
      </c>
      <c r="G154" s="578">
        <f t="shared" si="29"/>
        <v>5171448.09</v>
      </c>
      <c r="H154" s="578">
        <f t="shared" si="29"/>
        <v>0</v>
      </c>
      <c r="I154" s="578">
        <f>H154-G154</f>
        <v>-5171448.09</v>
      </c>
      <c r="J154" s="324" t="e">
        <f>IF(I154=0,"",I154/H154)</f>
        <v>#DIV/0!</v>
      </c>
      <c r="K154" s="580">
        <f>SUM(K155)</f>
        <v>0</v>
      </c>
    </row>
    <row r="155" spans="1:12" ht="12.75" customHeight="1" x14ac:dyDescent="0.25">
      <c r="A155" s="518" t="s">
        <v>1323</v>
      </c>
      <c r="B155" s="169"/>
      <c r="C155" s="748"/>
      <c r="D155" s="753"/>
      <c r="E155" s="733"/>
      <c r="F155" s="733">
        <v>-2156877.8800000004</v>
      </c>
      <c r="G155" s="733">
        <v>5171448.09</v>
      </c>
      <c r="H155" s="733"/>
      <c r="I155" s="44">
        <f>H155-G155</f>
        <v>-5171448.09</v>
      </c>
      <c r="J155" s="124" t="e">
        <f>IF(I155=0,"",I155/H155)</f>
        <v>#DIV/0!</v>
      </c>
      <c r="K155" s="735"/>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0">SUM(C158:C158)</f>
        <v>0</v>
      </c>
      <c r="D157" s="577">
        <f t="shared" si="30"/>
        <v>0</v>
      </c>
      <c r="E157" s="578">
        <f t="shared" si="30"/>
        <v>0</v>
      </c>
      <c r="F157" s="578">
        <f t="shared" si="30"/>
        <v>0</v>
      </c>
      <c r="G157" s="578">
        <f t="shared" si="30"/>
        <v>0</v>
      </c>
      <c r="H157" s="578">
        <f t="shared" si="30"/>
        <v>0</v>
      </c>
      <c r="I157" s="578">
        <f>H157-G157</f>
        <v>0</v>
      </c>
      <c r="J157" s="324" t="str">
        <f>IF(I157=0,"",I157/H157)</f>
        <v/>
      </c>
      <c r="K157" s="580">
        <f>SUM(K158)</f>
        <v>0</v>
      </c>
    </row>
    <row r="158" spans="1:12" ht="12.75" customHeight="1" x14ac:dyDescent="0.25">
      <c r="A158" s="518" t="s">
        <v>1324</v>
      </c>
      <c r="B158" s="169"/>
      <c r="C158" s="748"/>
      <c r="D158" s="753"/>
      <c r="E158" s="733"/>
      <c r="F158" s="733"/>
      <c r="G158" s="733"/>
      <c r="H158" s="733"/>
      <c r="I158" s="44">
        <f>H158-G158</f>
        <v>0</v>
      </c>
      <c r="J158" s="124" t="str">
        <f>IF(I158=0,"",I158/H158)</f>
        <v/>
      </c>
      <c r="K158" s="735"/>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1">SUM(C161:C161)</f>
        <v>0</v>
      </c>
      <c r="D160" s="577">
        <f t="shared" si="31"/>
        <v>0</v>
      </c>
      <c r="E160" s="578">
        <f t="shared" si="31"/>
        <v>0</v>
      </c>
      <c r="F160" s="578">
        <f t="shared" si="31"/>
        <v>0</v>
      </c>
      <c r="G160" s="578">
        <f t="shared" si="31"/>
        <v>0</v>
      </c>
      <c r="H160" s="578">
        <f t="shared" si="31"/>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32">SUM(C164:C164)</f>
        <v>0</v>
      </c>
      <c r="D163" s="577">
        <f t="shared" si="32"/>
        <v>0</v>
      </c>
      <c r="E163" s="578">
        <f t="shared" si="32"/>
        <v>0</v>
      </c>
      <c r="F163" s="578">
        <f t="shared" si="32"/>
        <v>0</v>
      </c>
      <c r="G163" s="578">
        <f t="shared" si="32"/>
        <v>0</v>
      </c>
      <c r="H163" s="578">
        <f t="shared" si="32"/>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884</v>
      </c>
      <c r="B166" s="236">
        <v>1</v>
      </c>
      <c r="C166" s="112">
        <f t="shared" ref="C166:H166" si="33">C7+C75+C103+C110+C117+C135+C138+C148+C151+C154+C157+C160+C163</f>
        <v>0</v>
      </c>
      <c r="D166" s="271">
        <f t="shared" si="33"/>
        <v>233303814.33587065</v>
      </c>
      <c r="E166" s="55">
        <f t="shared" si="33"/>
        <v>233303814.33587065</v>
      </c>
      <c r="F166" s="55">
        <f t="shared" si="33"/>
        <v>1109682.9599999995</v>
      </c>
      <c r="G166" s="55">
        <f t="shared" si="33"/>
        <v>35798435.909999996</v>
      </c>
      <c r="H166" s="55">
        <f t="shared" si="33"/>
        <v>116651907.16793533</v>
      </c>
      <c r="I166" s="55">
        <f t="shared" si="1"/>
        <v>80853471.25793533</v>
      </c>
      <c r="J166" s="290">
        <f t="shared" si="2"/>
        <v>0.6931174399192328</v>
      </c>
      <c r="K166" s="235">
        <f>K7+K75+K103+K110+K117+K135+K138+K148+K151+K154+K157+K160+K163</f>
        <v>233303814.33587065</v>
      </c>
    </row>
    <row r="167" spans="1:11" ht="12.75" customHeight="1" x14ac:dyDescent="0.25">
      <c r="A167" s="57"/>
      <c r="B167" s="58"/>
      <c r="C167" s="62"/>
      <c r="D167" s="62"/>
      <c r="E167" s="62"/>
      <c r="F167" s="62"/>
      <c r="G167" s="62"/>
      <c r="H167" s="62"/>
      <c r="I167" s="62"/>
      <c r="J167" s="62"/>
      <c r="K167" s="62"/>
    </row>
    <row r="168" spans="1:11" ht="12.75" customHeight="1" x14ac:dyDescent="0.25">
      <c r="A168" s="703"/>
      <c r="B168" s="58"/>
      <c r="C168" s="62"/>
      <c r="D168" s="62"/>
      <c r="E168" s="62"/>
      <c r="F168" s="62"/>
      <c r="G168" s="62"/>
      <c r="H168" s="62"/>
      <c r="I168" s="62"/>
      <c r="J168" s="62"/>
      <c r="K168" s="62"/>
    </row>
    <row r="169" spans="1:11" ht="11.25" customHeight="1" x14ac:dyDescent="0.25">
      <c r="A169" s="703"/>
      <c r="B169" s="58"/>
      <c r="C169" s="62"/>
      <c r="D169" s="62"/>
      <c r="E169" s="62"/>
      <c r="F169" s="62"/>
      <c r="G169" s="62"/>
      <c r="H169" s="62"/>
      <c r="I169" s="62"/>
      <c r="J169" s="62"/>
      <c r="K169" s="62"/>
    </row>
    <row r="170" spans="1:11" ht="11.25" customHeight="1" x14ac:dyDescent="0.25">
      <c r="A170" s="703"/>
      <c r="B170" s="64"/>
      <c r="C170" s="135"/>
      <c r="D170" s="135"/>
      <c r="E170" s="135"/>
      <c r="F170" s="118"/>
      <c r="G170" s="118"/>
      <c r="H170" s="118"/>
      <c r="I170" s="118"/>
      <c r="J170" s="118"/>
      <c r="K170" s="118"/>
    </row>
    <row r="171" spans="1:11" ht="11.25" customHeight="1" x14ac:dyDescent="0.25">
      <c r="A171" s="703"/>
    </row>
    <row r="172" spans="1:11" ht="11.25" customHeight="1" x14ac:dyDescent="0.25">
      <c r="A172" s="703"/>
    </row>
    <row r="173" spans="1:11" ht="11.25" customHeight="1" x14ac:dyDescent="0.25">
      <c r="A173" s="703"/>
    </row>
    <row r="174" spans="1:11" ht="11.25" customHeight="1" x14ac:dyDescent="0.25">
      <c r="A174" s="887"/>
    </row>
    <row r="175" spans="1:11" ht="11.25" customHeight="1" x14ac:dyDescent="0.25">
      <c r="A175" s="887"/>
    </row>
    <row r="176" spans="1:11" ht="11.25" customHeight="1" x14ac:dyDescent="0.25">
      <c r="A176" s="887"/>
    </row>
    <row r="177" spans="1:1" ht="11.25" customHeight="1" x14ac:dyDescent="0.25">
      <c r="A177" s="887"/>
    </row>
    <row r="178" spans="1:1" ht="11.25" customHeight="1" x14ac:dyDescent="0.25"/>
    <row r="179" spans="1:1" ht="11.25" customHeight="1" x14ac:dyDescent="0.25"/>
    <row r="180" spans="1:1" ht="11.25" customHeight="1" x14ac:dyDescent="0.25"/>
    <row r="181" spans="1:1" ht="11.25" customHeight="1" x14ac:dyDescent="0.25"/>
    <row r="182" spans="1:1" ht="11.25" customHeight="1" x14ac:dyDescent="0.25"/>
    <row r="183" spans="1:1" ht="11.25" customHeight="1" x14ac:dyDescent="0.25"/>
    <row r="184" spans="1:1" ht="11.25" customHeight="1" x14ac:dyDescent="0.25"/>
    <row r="185" spans="1:1" ht="11.25" customHeight="1" x14ac:dyDescent="0.25"/>
    <row r="186" spans="1:1" ht="11.25" customHeight="1" x14ac:dyDescent="0.25"/>
    <row r="187" spans="1:1" ht="11.25" customHeight="1" x14ac:dyDescent="0.25"/>
    <row r="188" spans="1:1" ht="11.25" customHeight="1" x14ac:dyDescent="0.25"/>
    <row r="189" spans="1:1" ht="11.25" customHeight="1" x14ac:dyDescent="0.25"/>
    <row r="190" spans="1:1" ht="11.25" customHeight="1" x14ac:dyDescent="0.25"/>
    <row r="191" spans="1:1" ht="11.25" customHeight="1" x14ac:dyDescent="0.25"/>
    <row r="192" spans="1:1"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sheetData>
  <sheetProtection sheet="1" objects="1" scenarios="1"/>
  <mergeCells count="3">
    <mergeCell ref="A1:K1"/>
    <mergeCell ref="A2:A3"/>
    <mergeCell ref="B2:B3"/>
  </mergeCells>
  <phoneticPr fontId="2" type="noConversion"/>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2"/>
  </sheetPr>
  <dimension ref="A1:L204"/>
  <sheetViews>
    <sheetView showGridLines="0" workbookViewId="0">
      <pane xSplit="2" ySplit="4" topLeftCell="C128" activePane="bottomRight" state="frozen"/>
      <selection pane="topRight"/>
      <selection pane="bottomLeft"/>
      <selection pane="bottomRight" activeCell="Q155" sqref="Q155"/>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57" t="str">
        <f>muni&amp; " - "&amp;S71Sd&amp; " - "&amp;Head57</f>
        <v>KZN225 Msunduzi - Supporting Table SC13d Consolidated Monthly Budget Statement - depreciation by asset class - Mid-Year Assessment</v>
      </c>
      <c r="B1" s="1057"/>
      <c r="C1" s="1057"/>
      <c r="D1" s="1057"/>
      <c r="E1" s="1057"/>
      <c r="F1" s="1057"/>
      <c r="G1" s="1057"/>
      <c r="H1" s="1057"/>
      <c r="I1" s="1057"/>
      <c r="J1" s="1057"/>
      <c r="K1" s="1057"/>
    </row>
    <row r="2" spans="1:11" x14ac:dyDescent="0.25">
      <c r="A2" s="1042" t="str">
        <f>desc</f>
        <v>Description</v>
      </c>
      <c r="B2" s="1035" t="str">
        <f>head27</f>
        <v>Ref</v>
      </c>
      <c r="C2" s="139" t="str">
        <f>Head1</f>
        <v>2019/20</v>
      </c>
      <c r="D2" s="245" t="str">
        <f>Head2</f>
        <v>Budget Year 2020/21</v>
      </c>
      <c r="E2" s="229"/>
      <c r="F2" s="229"/>
      <c r="G2" s="229"/>
      <c r="H2" s="229"/>
      <c r="I2" s="229"/>
      <c r="J2" s="229"/>
      <c r="K2" s="230"/>
    </row>
    <row r="3" spans="1:11" ht="25.5" x14ac:dyDescent="0.25">
      <c r="A3" s="1043"/>
      <c r="B3" s="1046"/>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1074</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102185430.65296483</v>
      </c>
      <c r="E7" s="102">
        <f t="shared" si="0"/>
        <v>102185430.65296483</v>
      </c>
      <c r="F7" s="102">
        <f t="shared" si="0"/>
        <v>27228075.559999999</v>
      </c>
      <c r="G7" s="102">
        <f t="shared" si="0"/>
        <v>161526086.36000016</v>
      </c>
      <c r="H7" s="102">
        <f t="shared" si="0"/>
        <v>51092715.326482415</v>
      </c>
      <c r="I7" s="101">
        <f t="shared" ref="I7:I166" si="1">H7-G7</f>
        <v>-110433371.03351775</v>
      </c>
      <c r="J7" s="579">
        <f t="shared" ref="J7:J166" si="2">IF(I7=0,"",I7/H7)</f>
        <v>-2.1614308483674938</v>
      </c>
      <c r="K7" s="603">
        <f>K8+K13+K17+K27+K38+K45+K53+K63+K69</f>
        <v>102185430.65296483</v>
      </c>
    </row>
    <row r="8" spans="1:11" ht="12.75" customHeight="1" x14ac:dyDescent="0.25">
      <c r="A8" s="518" t="s">
        <v>1216</v>
      </c>
      <c r="B8" s="169"/>
      <c r="C8" s="677">
        <f t="shared" ref="C8:H8" si="3">SUM(C9:C12)</f>
        <v>0</v>
      </c>
      <c r="D8" s="609">
        <f t="shared" si="3"/>
        <v>14933619.963149311</v>
      </c>
      <c r="E8" s="608">
        <f t="shared" si="3"/>
        <v>14933619.963149311</v>
      </c>
      <c r="F8" s="608">
        <f t="shared" si="3"/>
        <v>10163035.289999999</v>
      </c>
      <c r="G8" s="608">
        <f t="shared" si="3"/>
        <v>60322528.809999987</v>
      </c>
      <c r="H8" s="608">
        <f t="shared" si="3"/>
        <v>7466809.9815746555</v>
      </c>
      <c r="I8" s="258">
        <f t="shared" si="1"/>
        <v>-52855718.828425333</v>
      </c>
      <c r="J8" s="575">
        <f t="shared" si="2"/>
        <v>-7.0787550451737538</v>
      </c>
      <c r="K8" s="610">
        <f>SUM(K9:K12)</f>
        <v>14933619.963149311</v>
      </c>
    </row>
    <row r="9" spans="1:11" ht="12.75" customHeight="1" x14ac:dyDescent="0.25">
      <c r="A9" s="574" t="s">
        <v>168</v>
      </c>
      <c r="B9" s="169"/>
      <c r="C9" s="748"/>
      <c r="D9" s="745">
        <v>14851561.889929518</v>
      </c>
      <c r="E9" s="733">
        <v>14851561.889929518</v>
      </c>
      <c r="F9" s="733">
        <v>10163035.289999999</v>
      </c>
      <c r="G9" s="733">
        <v>60322528.809999987</v>
      </c>
      <c r="H9" s="733">
        <f>E9/12*6</f>
        <v>7425780.9449647591</v>
      </c>
      <c r="I9" s="258">
        <f t="shared" si="1"/>
        <v>-52896747.865035228</v>
      </c>
      <c r="J9" s="575">
        <f t="shared" si="2"/>
        <v>-7.1233919041071667</v>
      </c>
      <c r="K9" s="735">
        <f>E9</f>
        <v>14851561.889929518</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v>82058.073219792102</v>
      </c>
      <c r="E12" s="733">
        <v>82058.073219792102</v>
      </c>
      <c r="F12" s="733"/>
      <c r="G12" s="733"/>
      <c r="H12" s="733">
        <f>E12/12*6</f>
        <v>41029.036609896051</v>
      </c>
      <c r="I12" s="258">
        <f t="shared" si="1"/>
        <v>41029.036609896051</v>
      </c>
      <c r="J12" s="575">
        <f t="shared" si="2"/>
        <v>1</v>
      </c>
      <c r="K12" s="735">
        <f>E12</f>
        <v>82058.073219792102</v>
      </c>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80844690.254493043</v>
      </c>
      <c r="E17" s="408">
        <f t="shared" si="5"/>
        <v>80844690.254493043</v>
      </c>
      <c r="F17" s="408">
        <f t="shared" si="5"/>
        <v>7999288.5699999994</v>
      </c>
      <c r="G17" s="408">
        <f t="shared" si="5"/>
        <v>47393931.720000185</v>
      </c>
      <c r="H17" s="408">
        <f t="shared" si="5"/>
        <v>40422345.127246521</v>
      </c>
      <c r="I17" s="258">
        <f t="shared" si="1"/>
        <v>-6971586.5927536637</v>
      </c>
      <c r="J17" s="575">
        <f t="shared" si="2"/>
        <v>-0.17246863265373719</v>
      </c>
      <c r="K17" s="642">
        <f>SUM(K18:K26)</f>
        <v>80844690.254493043</v>
      </c>
    </row>
    <row r="18" spans="1:11" ht="12.75" customHeight="1" x14ac:dyDescent="0.25">
      <c r="A18" s="574" t="s">
        <v>1225</v>
      </c>
      <c r="B18" s="169"/>
      <c r="C18" s="748"/>
      <c r="D18" s="745"/>
      <c r="E18" s="733"/>
      <c r="F18" s="733"/>
      <c r="G18" s="733"/>
      <c r="H18" s="733"/>
      <c r="I18" s="258">
        <f t="shared" si="1"/>
        <v>0</v>
      </c>
      <c r="J18" s="575" t="str">
        <f t="shared" si="2"/>
        <v/>
      </c>
      <c r="K18" s="735"/>
    </row>
    <row r="19" spans="1:11" ht="12.75" customHeight="1" x14ac:dyDescent="0.25">
      <c r="A19" s="574" t="s">
        <v>1226</v>
      </c>
      <c r="B19" s="169"/>
      <c r="C19" s="748"/>
      <c r="D19" s="745">
        <v>39300782.18353869</v>
      </c>
      <c r="E19" s="733">
        <v>39300782.18353869</v>
      </c>
      <c r="F19" s="733"/>
      <c r="G19" s="733"/>
      <c r="H19" s="733">
        <f>E19/12*6</f>
        <v>19650391.091769345</v>
      </c>
      <c r="I19" s="258">
        <f t="shared" si="1"/>
        <v>19650391.091769345</v>
      </c>
      <c r="J19" s="575">
        <f t="shared" si="2"/>
        <v>1</v>
      </c>
      <c r="K19" s="735">
        <f t="shared" ref="K19:K22" si="6">E19</f>
        <v>39300782.18353869</v>
      </c>
    </row>
    <row r="20" spans="1:11" ht="12.75" customHeight="1" x14ac:dyDescent="0.25">
      <c r="A20" s="574" t="s">
        <v>1227</v>
      </c>
      <c r="B20" s="169"/>
      <c r="C20" s="748"/>
      <c r="D20" s="745">
        <v>30417611.026810348</v>
      </c>
      <c r="E20" s="733">
        <v>30417611.026810348</v>
      </c>
      <c r="F20" s="733">
        <v>351390.31</v>
      </c>
      <c r="G20" s="733">
        <v>2082912.73</v>
      </c>
      <c r="H20" s="733">
        <f>E20/12*6</f>
        <v>15208805.513405174</v>
      </c>
      <c r="I20" s="258">
        <f t="shared" si="1"/>
        <v>13125892.783405174</v>
      </c>
      <c r="J20" s="575">
        <f t="shared" si="2"/>
        <v>0.86304560682532871</v>
      </c>
      <c r="K20" s="735">
        <f t="shared" si="6"/>
        <v>30417611.026810348</v>
      </c>
    </row>
    <row r="21" spans="1:11" ht="12.75" customHeight="1" x14ac:dyDescent="0.25">
      <c r="A21" s="574" t="s">
        <v>1228</v>
      </c>
      <c r="B21" s="169"/>
      <c r="C21" s="748"/>
      <c r="D21" s="745">
        <v>10972255.34036158</v>
      </c>
      <c r="E21" s="733">
        <v>10972255.34036158</v>
      </c>
      <c r="F21" s="733">
        <v>4482409.5200000005</v>
      </c>
      <c r="G21" s="733">
        <v>26522214.990000181</v>
      </c>
      <c r="H21" s="733">
        <f t="shared" ref="H21:H22" si="7">E21/12*6</f>
        <v>5486127.6701807901</v>
      </c>
      <c r="I21" s="258">
        <f t="shared" si="1"/>
        <v>-21036087.319819391</v>
      </c>
      <c r="J21" s="575">
        <f t="shared" si="2"/>
        <v>-3.8344144694551314</v>
      </c>
      <c r="K21" s="735">
        <f t="shared" si="6"/>
        <v>10972255.34036158</v>
      </c>
    </row>
    <row r="22" spans="1:11" ht="12.75" customHeight="1" x14ac:dyDescent="0.25">
      <c r="A22" s="574" t="s">
        <v>1229</v>
      </c>
      <c r="B22" s="169"/>
      <c r="C22" s="748"/>
      <c r="D22" s="745">
        <v>154041.70378242273</v>
      </c>
      <c r="E22" s="733">
        <v>154041.70378242273</v>
      </c>
      <c r="F22" s="733">
        <v>2989478.6999999993</v>
      </c>
      <c r="G22" s="733">
        <v>17744098.290000003</v>
      </c>
      <c r="H22" s="733">
        <f t="shared" si="7"/>
        <v>77020.851891211365</v>
      </c>
      <c r="I22" s="258">
        <f t="shared" si="1"/>
        <v>-17667077.438108791</v>
      </c>
      <c r="J22" s="575">
        <f t="shared" si="2"/>
        <v>-229.38044703871591</v>
      </c>
      <c r="K22" s="735">
        <f t="shared" si="6"/>
        <v>154041.70378242273</v>
      </c>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v>176010.03999999998</v>
      </c>
      <c r="G25" s="733">
        <v>1044705.71</v>
      </c>
      <c r="H25" s="733"/>
      <c r="I25" s="258">
        <f t="shared" si="1"/>
        <v>-1044705.71</v>
      </c>
      <c r="J25" s="575" t="e">
        <f t="shared" si="2"/>
        <v>#DIV/0!</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8">SUM(C28:C37)</f>
        <v>0</v>
      </c>
      <c r="D27" s="649">
        <f t="shared" si="8"/>
        <v>6407120.435322484</v>
      </c>
      <c r="E27" s="408">
        <f t="shared" si="8"/>
        <v>6407120.435322484</v>
      </c>
      <c r="F27" s="408">
        <f t="shared" si="8"/>
        <v>7225931.1699999981</v>
      </c>
      <c r="G27" s="408">
        <f t="shared" si="8"/>
        <v>42889398.460000001</v>
      </c>
      <c r="H27" s="408">
        <f t="shared" si="8"/>
        <v>3203560.217661242</v>
      </c>
      <c r="I27" s="258">
        <f t="shared" si="1"/>
        <v>-39685838.242338762</v>
      </c>
      <c r="J27" s="575">
        <f t="shared" si="2"/>
        <v>-12.388041911480407</v>
      </c>
      <c r="K27" s="642">
        <f>SUM(K28:K37)</f>
        <v>6407120.435322484</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v>6407120.435322484</v>
      </c>
      <c r="E30" s="733">
        <v>6407120.435322484</v>
      </c>
      <c r="F30" s="733"/>
      <c r="G30" s="733"/>
      <c r="H30" s="733">
        <f>E30/12*6</f>
        <v>3203560.217661242</v>
      </c>
      <c r="I30" s="258">
        <f t="shared" si="1"/>
        <v>3203560.217661242</v>
      </c>
      <c r="J30" s="575">
        <f t="shared" si="2"/>
        <v>1</v>
      </c>
      <c r="K30" s="735">
        <f>E30</f>
        <v>6407120.435322484</v>
      </c>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c r="G34" s="733"/>
      <c r="H34" s="733"/>
      <c r="I34" s="258">
        <f t="shared" si="1"/>
        <v>0</v>
      </c>
      <c r="J34" s="575" t="str">
        <f t="shared" si="2"/>
        <v/>
      </c>
      <c r="K34" s="735"/>
    </row>
    <row r="35" spans="1:11" ht="12.75" customHeight="1" x14ac:dyDescent="0.25">
      <c r="A35" s="574" t="s">
        <v>1241</v>
      </c>
      <c r="B35" s="169"/>
      <c r="C35" s="748"/>
      <c r="D35" s="745"/>
      <c r="E35" s="733"/>
      <c r="F35" s="733">
        <v>7225931.1699999981</v>
      </c>
      <c r="G35" s="733">
        <v>42889398.460000001</v>
      </c>
      <c r="H35" s="733"/>
      <c r="I35" s="258">
        <f t="shared" si="1"/>
        <v>-42889398.460000001</v>
      </c>
      <c r="J35" s="575" t="e">
        <f t="shared" si="2"/>
        <v>#DIV/0!</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9">SUM(C39:C44)</f>
        <v>0</v>
      </c>
      <c r="D38" s="649">
        <f t="shared" si="9"/>
        <v>0</v>
      </c>
      <c r="E38" s="408">
        <f t="shared" si="9"/>
        <v>0</v>
      </c>
      <c r="F38" s="408">
        <f t="shared" si="9"/>
        <v>1711795.1</v>
      </c>
      <c r="G38" s="408">
        <f t="shared" si="9"/>
        <v>10160334.850000001</v>
      </c>
      <c r="H38" s="408">
        <f t="shared" si="9"/>
        <v>0</v>
      </c>
      <c r="I38" s="258">
        <f t="shared" si="1"/>
        <v>-10160334.850000001</v>
      </c>
      <c r="J38" s="575" t="e">
        <f t="shared" si="2"/>
        <v>#DIV/0!</v>
      </c>
      <c r="K38" s="642">
        <f>SUM(K39:K44)</f>
        <v>0</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v>1711795.1</v>
      </c>
      <c r="G40" s="733">
        <v>10160334.850000001</v>
      </c>
      <c r="H40" s="733"/>
      <c r="I40" s="258">
        <f t="shared" si="1"/>
        <v>-10160334.850000001</v>
      </c>
      <c r="J40" s="575" t="e">
        <f t="shared" si="2"/>
        <v>#DIV/0!</v>
      </c>
      <c r="K40" s="735"/>
    </row>
    <row r="41" spans="1:11" ht="12.75" customHeight="1" x14ac:dyDescent="0.25">
      <c r="A41" s="574" t="s">
        <v>1245</v>
      </c>
      <c r="B41" s="169"/>
      <c r="C41" s="748"/>
      <c r="D41" s="745"/>
      <c r="E41" s="733"/>
      <c r="F41" s="733"/>
      <c r="G41" s="733"/>
      <c r="H41" s="733"/>
      <c r="I41" s="258">
        <f t="shared" si="1"/>
        <v>0</v>
      </c>
      <c r="J41" s="575" t="str">
        <f t="shared" si="2"/>
        <v/>
      </c>
      <c r="K41" s="735"/>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10">SUM(C46:C52)</f>
        <v>0</v>
      </c>
      <c r="D45" s="649">
        <f t="shared" si="10"/>
        <v>0</v>
      </c>
      <c r="E45" s="408">
        <f t="shared" si="10"/>
        <v>0</v>
      </c>
      <c r="F45" s="408">
        <f t="shared" si="10"/>
        <v>117892.15999999999</v>
      </c>
      <c r="G45" s="408">
        <f t="shared" si="10"/>
        <v>699746.88000000012</v>
      </c>
      <c r="H45" s="408">
        <f t="shared" si="10"/>
        <v>0</v>
      </c>
      <c r="I45" s="258">
        <f t="shared" si="1"/>
        <v>-699746.88000000012</v>
      </c>
      <c r="J45" s="575" t="e">
        <f t="shared" si="2"/>
        <v>#DIV/0!</v>
      </c>
      <c r="K45" s="642">
        <f>SUM(K46:K52)</f>
        <v>0</v>
      </c>
    </row>
    <row r="46" spans="1:11" ht="12.75" customHeight="1" x14ac:dyDescent="0.25">
      <c r="A46" s="574" t="s">
        <v>1249</v>
      </c>
      <c r="B46" s="169"/>
      <c r="C46" s="748"/>
      <c r="D46" s="745"/>
      <c r="E46" s="733"/>
      <c r="F46" s="733">
        <v>117892.15999999999</v>
      </c>
      <c r="G46" s="733">
        <v>699746.88000000012</v>
      </c>
      <c r="H46" s="733"/>
      <c r="I46" s="258">
        <f t="shared" si="1"/>
        <v>-699746.88000000012</v>
      </c>
      <c r="J46" s="575" t="e">
        <f t="shared" si="2"/>
        <v>#DIV/0!</v>
      </c>
      <c r="K46" s="735"/>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11">SUM(C54:C62)</f>
        <v>0</v>
      </c>
      <c r="D53" s="649">
        <f t="shared" si="11"/>
        <v>0</v>
      </c>
      <c r="E53" s="408">
        <f t="shared" si="11"/>
        <v>0</v>
      </c>
      <c r="F53" s="408">
        <f t="shared" si="11"/>
        <v>10133.27</v>
      </c>
      <c r="G53" s="408">
        <f t="shared" si="11"/>
        <v>60145.64</v>
      </c>
      <c r="H53" s="408">
        <f t="shared" si="11"/>
        <v>0</v>
      </c>
      <c r="I53" s="258">
        <f t="shared" si="1"/>
        <v>-60145.64</v>
      </c>
      <c r="J53" s="575" t="e">
        <f t="shared" si="2"/>
        <v>#DIV/0!</v>
      </c>
      <c r="K53" s="642">
        <f>SUM(K54:K62)</f>
        <v>0</v>
      </c>
    </row>
    <row r="54" spans="1:11" ht="12.75" customHeight="1" x14ac:dyDescent="0.25">
      <c r="A54" s="574" t="s">
        <v>1256</v>
      </c>
      <c r="B54" s="169"/>
      <c r="C54" s="748"/>
      <c r="D54" s="745"/>
      <c r="E54" s="733"/>
      <c r="F54" s="733">
        <v>10133.27</v>
      </c>
      <c r="G54" s="733">
        <v>60145.64</v>
      </c>
      <c r="H54" s="733"/>
      <c r="I54" s="258">
        <f t="shared" si="1"/>
        <v>-60145.64</v>
      </c>
      <c r="J54" s="575" t="e">
        <f t="shared" si="2"/>
        <v>#DIV/0!</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2">SUM(C64:C68)</f>
        <v>0</v>
      </c>
      <c r="D63" s="649">
        <f t="shared" si="12"/>
        <v>0</v>
      </c>
      <c r="E63" s="408">
        <f t="shared" si="12"/>
        <v>0</v>
      </c>
      <c r="F63" s="408">
        <f t="shared" si="12"/>
        <v>0</v>
      </c>
      <c r="G63" s="408">
        <f t="shared" si="12"/>
        <v>0</v>
      </c>
      <c r="H63" s="408">
        <f t="shared" si="12"/>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3">SUM(C70:C73)</f>
        <v>0</v>
      </c>
      <c r="D69" s="649">
        <f t="shared" si="13"/>
        <v>0</v>
      </c>
      <c r="E69" s="408">
        <f t="shared" si="13"/>
        <v>0</v>
      </c>
      <c r="F69" s="408">
        <f t="shared" si="13"/>
        <v>0</v>
      </c>
      <c r="G69" s="408">
        <f t="shared" si="13"/>
        <v>0</v>
      </c>
      <c r="H69" s="408">
        <f t="shared" si="13"/>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4">+C76+C99</f>
        <v>0</v>
      </c>
      <c r="D75" s="577">
        <f t="shared" si="14"/>
        <v>38330211.728626624</v>
      </c>
      <c r="E75" s="578">
        <f t="shared" si="14"/>
        <v>38330211.728626624</v>
      </c>
      <c r="F75" s="578">
        <f t="shared" si="14"/>
        <v>2542264.2199999997</v>
      </c>
      <c r="G75" s="578">
        <f t="shared" si="14"/>
        <v>15172625.949999999</v>
      </c>
      <c r="H75" s="578">
        <f t="shared" si="14"/>
        <v>19165105.864313312</v>
      </c>
      <c r="I75" s="578">
        <f t="shared" si="1"/>
        <v>3992479.9143133126</v>
      </c>
      <c r="J75" s="579">
        <f t="shared" si="2"/>
        <v>0.20832026405591492</v>
      </c>
      <c r="K75" s="580">
        <f>+K76+K99</f>
        <v>38330211.728626624</v>
      </c>
    </row>
    <row r="76" spans="1:11" ht="12.75" customHeight="1" x14ac:dyDescent="0.25">
      <c r="A76" s="518" t="s">
        <v>1268</v>
      </c>
      <c r="B76" s="169"/>
      <c r="C76" s="648">
        <f t="shared" ref="C76:H76" si="15">SUM(C77:C98)</f>
        <v>0</v>
      </c>
      <c r="D76" s="649">
        <f t="shared" si="15"/>
        <v>22212964.603795335</v>
      </c>
      <c r="E76" s="408">
        <f t="shared" si="15"/>
        <v>22212964.603795335</v>
      </c>
      <c r="F76" s="408">
        <f t="shared" si="15"/>
        <v>1402310.6</v>
      </c>
      <c r="G76" s="408">
        <f t="shared" si="15"/>
        <v>8406448.3900000006</v>
      </c>
      <c r="H76" s="408">
        <f t="shared" si="15"/>
        <v>11106482.301897667</v>
      </c>
      <c r="I76" s="258">
        <f t="shared" si="1"/>
        <v>2700033.9118976668</v>
      </c>
      <c r="J76" s="575">
        <f t="shared" si="2"/>
        <v>0.24310432759041409</v>
      </c>
      <c r="K76" s="642">
        <f>SUM(K77:K98)</f>
        <v>22212964.603795335</v>
      </c>
    </row>
    <row r="77" spans="1:11" ht="12.75" customHeight="1" x14ac:dyDescent="0.25">
      <c r="A77" s="574" t="s">
        <v>1269</v>
      </c>
      <c r="B77" s="169"/>
      <c r="C77" s="748"/>
      <c r="D77" s="753">
        <v>216338.10110699103</v>
      </c>
      <c r="E77" s="733">
        <v>216338.10110699103</v>
      </c>
      <c r="F77" s="733"/>
      <c r="G77" s="733"/>
      <c r="H77" s="733">
        <f>E77/12*6</f>
        <v>108169.05055349553</v>
      </c>
      <c r="I77" s="44">
        <f t="shared" si="1"/>
        <v>108169.05055349553</v>
      </c>
      <c r="J77" s="124">
        <f t="shared" si="2"/>
        <v>1</v>
      </c>
      <c r="K77" s="735">
        <f>E77</f>
        <v>216338.10110699103</v>
      </c>
    </row>
    <row r="78" spans="1:11" ht="12.75" customHeight="1" x14ac:dyDescent="0.25">
      <c r="A78" s="574" t="s">
        <v>1270</v>
      </c>
      <c r="B78" s="169"/>
      <c r="C78" s="748"/>
      <c r="D78" s="753"/>
      <c r="E78" s="733"/>
      <c r="F78" s="733">
        <v>303295.66000000003</v>
      </c>
      <c r="G78" s="733">
        <v>1800206.5599999996</v>
      </c>
      <c r="H78" s="733"/>
      <c r="I78" s="44">
        <f t="shared" si="1"/>
        <v>-1800206.5599999996</v>
      </c>
      <c r="J78" s="124" t="e">
        <f t="shared" si="2"/>
        <v>#DIV/0!</v>
      </c>
      <c r="K78" s="735"/>
    </row>
    <row r="79" spans="1:11" ht="12.75" customHeight="1" x14ac:dyDescent="0.25">
      <c r="A79" s="574" t="s">
        <v>1271</v>
      </c>
      <c r="B79" s="169"/>
      <c r="C79" s="748"/>
      <c r="D79" s="753"/>
      <c r="E79" s="733"/>
      <c r="F79" s="733">
        <v>42468.77</v>
      </c>
      <c r="G79" s="733">
        <v>252072.63999999998</v>
      </c>
      <c r="H79" s="733"/>
      <c r="I79" s="44">
        <f t="shared" si="1"/>
        <v>-252072.63999999998</v>
      </c>
      <c r="J79" s="124" t="e">
        <f t="shared" si="2"/>
        <v>#DIV/0!</v>
      </c>
      <c r="K79" s="735"/>
    </row>
    <row r="80" spans="1:11" ht="12.75" customHeight="1" x14ac:dyDescent="0.25">
      <c r="A80" s="574" t="s">
        <v>1272</v>
      </c>
      <c r="B80" s="169"/>
      <c r="C80" s="748"/>
      <c r="D80" s="753">
        <v>11576837.362840936</v>
      </c>
      <c r="E80" s="733">
        <v>11576837.362840936</v>
      </c>
      <c r="F80" s="733">
        <v>59173.719999999994</v>
      </c>
      <c r="G80" s="733">
        <v>351224.87</v>
      </c>
      <c r="H80" s="733">
        <f t="shared" ref="H80:H81" si="16">E80/12*6</f>
        <v>5788418.6814204678</v>
      </c>
      <c r="I80" s="44">
        <f t="shared" si="1"/>
        <v>5437193.8114204677</v>
      </c>
      <c r="J80" s="124">
        <f t="shared" si="2"/>
        <v>0.93932282902628428</v>
      </c>
      <c r="K80" s="735">
        <f t="shared" ref="K80:K81" si="17">E80</f>
        <v>11576837.362840936</v>
      </c>
    </row>
    <row r="81" spans="1:11" ht="12.75" customHeight="1" x14ac:dyDescent="0.25">
      <c r="A81" s="574" t="s">
        <v>1273</v>
      </c>
      <c r="B81" s="169"/>
      <c r="C81" s="748"/>
      <c r="D81" s="753">
        <v>4052316.8497124896</v>
      </c>
      <c r="E81" s="733">
        <v>4052316.8497124896</v>
      </c>
      <c r="F81" s="733">
        <v>52548.499999999993</v>
      </c>
      <c r="G81" s="733">
        <v>311900.52999999997</v>
      </c>
      <c r="H81" s="733">
        <f t="shared" si="16"/>
        <v>2026158.4248562451</v>
      </c>
      <c r="I81" s="44">
        <f t="shared" si="1"/>
        <v>1714257.894856245</v>
      </c>
      <c r="J81" s="124">
        <f t="shared" si="2"/>
        <v>0.84606310830697795</v>
      </c>
      <c r="K81" s="735">
        <f t="shared" si="17"/>
        <v>4052316.8497124896</v>
      </c>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v>32249.21</v>
      </c>
      <c r="G85" s="733">
        <v>191414.72999999998</v>
      </c>
      <c r="H85" s="733"/>
      <c r="I85" s="44">
        <f t="shared" si="1"/>
        <v>-191414.72999999998</v>
      </c>
      <c r="J85" s="124" t="e">
        <f t="shared" si="2"/>
        <v>#DIV/0!</v>
      </c>
      <c r="K85" s="735"/>
    </row>
    <row r="86" spans="1:11" ht="12.75" customHeight="1" x14ac:dyDescent="0.25">
      <c r="A86" s="574" t="s">
        <v>553</v>
      </c>
      <c r="B86" s="169"/>
      <c r="C86" s="748"/>
      <c r="D86" s="753">
        <v>5202994.7779857824</v>
      </c>
      <c r="E86" s="733">
        <v>5202994.7779857824</v>
      </c>
      <c r="F86" s="733">
        <v>232523.85</v>
      </c>
      <c r="G86" s="733">
        <v>1380141.51</v>
      </c>
      <c r="H86" s="733">
        <f>E86/12*6</f>
        <v>2601497.3889928912</v>
      </c>
      <c r="I86" s="44">
        <f t="shared" si="1"/>
        <v>1221355.8789928912</v>
      </c>
      <c r="J86" s="124">
        <f t="shared" si="2"/>
        <v>0.46948187769110561</v>
      </c>
      <c r="K86" s="735">
        <f>E86</f>
        <v>5202994.7779857824</v>
      </c>
    </row>
    <row r="87" spans="1:11" ht="12.75" customHeight="1" x14ac:dyDescent="0.25">
      <c r="A87" s="574" t="s">
        <v>1277</v>
      </c>
      <c r="B87" s="169"/>
      <c r="C87" s="748"/>
      <c r="D87" s="753"/>
      <c r="E87" s="733"/>
      <c r="F87" s="733">
        <v>37931.160000000003</v>
      </c>
      <c r="G87" s="733">
        <v>225139.94</v>
      </c>
      <c r="H87" s="733"/>
      <c r="I87" s="44">
        <f t="shared" si="1"/>
        <v>-225139.94</v>
      </c>
      <c r="J87" s="124" t="e">
        <f t="shared" si="2"/>
        <v>#DIV/0!</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v>697094.75001482351</v>
      </c>
      <c r="E89" s="733">
        <v>697094.75001482351</v>
      </c>
      <c r="F89" s="733"/>
      <c r="G89" s="733"/>
      <c r="H89" s="733">
        <f>E89/12*6</f>
        <v>348547.37500741176</v>
      </c>
      <c r="I89" s="44">
        <f t="shared" si="1"/>
        <v>348547.37500741176</v>
      </c>
      <c r="J89" s="124">
        <f t="shared" si="2"/>
        <v>1</v>
      </c>
      <c r="K89" s="735">
        <f>E89</f>
        <v>697094.75001482351</v>
      </c>
    </row>
    <row r="90" spans="1:11" ht="12.75" customHeight="1" x14ac:dyDescent="0.25">
      <c r="A90" s="574" t="s">
        <v>1279</v>
      </c>
      <c r="B90" s="169"/>
      <c r="C90" s="748"/>
      <c r="D90" s="753"/>
      <c r="E90" s="733"/>
      <c r="F90" s="733">
        <v>8163.92</v>
      </c>
      <c r="G90" s="733">
        <v>48456.69</v>
      </c>
      <c r="H90" s="733"/>
      <c r="I90" s="44">
        <f t="shared" si="1"/>
        <v>-48456.69</v>
      </c>
      <c r="J90" s="124" t="e">
        <f t="shared" si="2"/>
        <v>#DIV/0!</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v>467382.76213431195</v>
      </c>
      <c r="E92" s="733">
        <v>467382.76213431195</v>
      </c>
      <c r="F92" s="733">
        <v>88003.07</v>
      </c>
      <c r="G92" s="733">
        <v>522340.64999999997</v>
      </c>
      <c r="H92" s="733">
        <f>E92/12*6</f>
        <v>233691.38106715598</v>
      </c>
      <c r="I92" s="44">
        <f t="shared" si="1"/>
        <v>-288649.26893284399</v>
      </c>
      <c r="J92" s="124">
        <f t="shared" si="2"/>
        <v>-1.2351729345546327</v>
      </c>
      <c r="K92" s="735">
        <f>E92</f>
        <v>467382.76213431195</v>
      </c>
    </row>
    <row r="93" spans="1:11" ht="12.75" customHeight="1" x14ac:dyDescent="0.25">
      <c r="A93" s="574" t="s">
        <v>441</v>
      </c>
      <c r="B93" s="169"/>
      <c r="C93" s="748"/>
      <c r="D93" s="753"/>
      <c r="E93" s="733"/>
      <c r="F93" s="733">
        <v>488453.80000000005</v>
      </c>
      <c r="G93" s="733">
        <v>2899209.93</v>
      </c>
      <c r="H93" s="733"/>
      <c r="I93" s="44">
        <f t="shared" si="1"/>
        <v>-2899209.93</v>
      </c>
      <c r="J93" s="124" t="e">
        <f t="shared" si="2"/>
        <v>#DIV/0!</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v>57498.939999999995</v>
      </c>
      <c r="G96" s="733">
        <v>424340.34</v>
      </c>
      <c r="H96" s="733"/>
      <c r="I96" s="44">
        <f t="shared" si="1"/>
        <v>-424340.34</v>
      </c>
      <c r="J96" s="124" t="e">
        <f t="shared" si="2"/>
        <v>#DIV/0!</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8">SUM(C100:C102)</f>
        <v>0</v>
      </c>
      <c r="D99" s="649">
        <f t="shared" si="18"/>
        <v>16117247.124831293</v>
      </c>
      <c r="E99" s="408">
        <f t="shared" si="18"/>
        <v>16117247.124831293</v>
      </c>
      <c r="F99" s="408">
        <f t="shared" si="18"/>
        <v>1139953.6199999994</v>
      </c>
      <c r="G99" s="408">
        <f t="shared" si="18"/>
        <v>6766177.5599999996</v>
      </c>
      <c r="H99" s="408">
        <f t="shared" si="18"/>
        <v>8058623.5624156464</v>
      </c>
      <c r="I99" s="258">
        <f t="shared" si="1"/>
        <v>1292446.0024156468</v>
      </c>
      <c r="J99" s="575">
        <f t="shared" si="2"/>
        <v>0.16038049083759712</v>
      </c>
      <c r="K99" s="642">
        <f>SUM(K100:K102)</f>
        <v>16117247.124831293</v>
      </c>
    </row>
    <row r="100" spans="1:11" ht="12.75" customHeight="1" x14ac:dyDescent="0.25">
      <c r="A100" s="574" t="s">
        <v>1286</v>
      </c>
      <c r="B100" s="169"/>
      <c r="C100" s="748"/>
      <c r="D100" s="753">
        <v>43464.979285039968</v>
      </c>
      <c r="E100" s="733">
        <v>43464.979285039968</v>
      </c>
      <c r="F100" s="733"/>
      <c r="G100" s="733"/>
      <c r="H100" s="733">
        <f t="shared" ref="H100:H102" si="19">E100/12*6</f>
        <v>21732.489642519984</v>
      </c>
      <c r="I100" s="44">
        <f t="shared" si="1"/>
        <v>21732.489642519984</v>
      </c>
      <c r="J100" s="124">
        <f t="shared" si="2"/>
        <v>1</v>
      </c>
      <c r="K100" s="735">
        <f t="shared" ref="K100:K102" si="20">E100</f>
        <v>43464.979285039968</v>
      </c>
    </row>
    <row r="101" spans="1:11" ht="12.75" customHeight="1" x14ac:dyDescent="0.25">
      <c r="A101" s="574" t="s">
        <v>1287</v>
      </c>
      <c r="B101" s="169"/>
      <c r="C101" s="748"/>
      <c r="D101" s="753">
        <v>8669487.8244611993</v>
      </c>
      <c r="E101" s="733">
        <v>8669487.8244611993</v>
      </c>
      <c r="F101" s="733">
        <v>1139953.6199999994</v>
      </c>
      <c r="G101" s="733">
        <v>6766177.5599999996</v>
      </c>
      <c r="H101" s="733">
        <f t="shared" si="19"/>
        <v>4334743.9122305997</v>
      </c>
      <c r="I101" s="44">
        <f>H101-G101</f>
        <v>-2431433.6477693999</v>
      </c>
      <c r="J101" s="124">
        <f>IF(I101=0,"",I101/H101)</f>
        <v>-0.56091748370856298</v>
      </c>
      <c r="K101" s="735">
        <f t="shared" si="20"/>
        <v>8669487.8244611993</v>
      </c>
    </row>
    <row r="102" spans="1:11" ht="12.75" customHeight="1" x14ac:dyDescent="0.25">
      <c r="A102" s="574" t="s">
        <v>1219</v>
      </c>
      <c r="B102" s="169"/>
      <c r="C102" s="748"/>
      <c r="D102" s="753">
        <v>7404294.3210850535</v>
      </c>
      <c r="E102" s="733">
        <v>7404294.3210850535</v>
      </c>
      <c r="F102" s="733"/>
      <c r="G102" s="733"/>
      <c r="H102" s="733">
        <f t="shared" si="19"/>
        <v>3702147.1605425267</v>
      </c>
      <c r="I102" s="44">
        <f t="shared" si="1"/>
        <v>3702147.1605425267</v>
      </c>
      <c r="J102" s="124">
        <f t="shared" si="2"/>
        <v>1</v>
      </c>
      <c r="K102" s="735">
        <f t="shared" si="20"/>
        <v>7404294.3210850535</v>
      </c>
    </row>
    <row r="103" spans="1:11" ht="12.75" customHeight="1" x14ac:dyDescent="0.25">
      <c r="A103" s="549" t="s">
        <v>670</v>
      </c>
      <c r="B103" s="169"/>
      <c r="C103" s="249">
        <f t="shared" ref="C103:H103" si="21">SUM(C104:C108)</f>
        <v>0</v>
      </c>
      <c r="D103" s="264">
        <f t="shared" si="21"/>
        <v>0</v>
      </c>
      <c r="E103" s="99">
        <f t="shared" si="21"/>
        <v>0</v>
      </c>
      <c r="F103" s="99">
        <f t="shared" si="21"/>
        <v>0</v>
      </c>
      <c r="G103" s="99">
        <f t="shared" si="21"/>
        <v>0</v>
      </c>
      <c r="H103" s="99">
        <f t="shared" si="21"/>
        <v>0</v>
      </c>
      <c r="I103" s="99">
        <f t="shared" si="1"/>
        <v>0</v>
      </c>
      <c r="J103" s="324" t="str">
        <f t="shared" si="2"/>
        <v/>
      </c>
      <c r="K103" s="195">
        <f>SUM(K104:K108)</f>
        <v>0</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c r="E108" s="733"/>
      <c r="F108" s="733"/>
      <c r="G108" s="733"/>
      <c r="H108" s="733"/>
      <c r="I108" s="44">
        <f t="shared" si="1"/>
        <v>0</v>
      </c>
      <c r="J108" s="124" t="str">
        <f t="shared" si="2"/>
        <v/>
      </c>
      <c r="K108" s="735"/>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22">+C111+C114</f>
        <v>0</v>
      </c>
      <c r="D110" s="577">
        <f t="shared" si="22"/>
        <v>0</v>
      </c>
      <c r="E110" s="578">
        <f t="shared" si="22"/>
        <v>0</v>
      </c>
      <c r="F110" s="578">
        <f t="shared" si="22"/>
        <v>0</v>
      </c>
      <c r="G110" s="578">
        <f t="shared" si="22"/>
        <v>0</v>
      </c>
      <c r="H110" s="578">
        <f t="shared" si="22"/>
        <v>0</v>
      </c>
      <c r="I110" s="99">
        <f t="shared" si="1"/>
        <v>0</v>
      </c>
      <c r="J110" s="324" t="str">
        <f t="shared" si="2"/>
        <v/>
      </c>
      <c r="K110" s="580">
        <f>+K111+K114</f>
        <v>0</v>
      </c>
    </row>
    <row r="111" spans="1:11" ht="12.75" customHeight="1" x14ac:dyDescent="0.25">
      <c r="A111" s="518" t="s">
        <v>1294</v>
      </c>
      <c r="B111" s="169"/>
      <c r="C111" s="648">
        <f t="shared" ref="C111:H111" si="23">SUM(C112:C113)</f>
        <v>0</v>
      </c>
      <c r="D111" s="649">
        <f t="shared" si="23"/>
        <v>0</v>
      </c>
      <c r="E111" s="408">
        <f t="shared" si="23"/>
        <v>0</v>
      </c>
      <c r="F111" s="408">
        <f t="shared" si="23"/>
        <v>0</v>
      </c>
      <c r="G111" s="408">
        <f t="shared" si="23"/>
        <v>0</v>
      </c>
      <c r="H111" s="408">
        <f t="shared" si="23"/>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24">SUM(C115:C116)</f>
        <v>0</v>
      </c>
      <c r="D114" s="649">
        <f t="shared" si="24"/>
        <v>0</v>
      </c>
      <c r="E114" s="408">
        <f t="shared" si="24"/>
        <v>0</v>
      </c>
      <c r="F114" s="408">
        <f t="shared" si="24"/>
        <v>0</v>
      </c>
      <c r="G114" s="408">
        <f t="shared" si="24"/>
        <v>0</v>
      </c>
      <c r="H114" s="408">
        <f t="shared" si="24"/>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25">+C118+C130</f>
        <v>0</v>
      </c>
      <c r="D117" s="577">
        <f t="shared" si="25"/>
        <v>163023969.56765977</v>
      </c>
      <c r="E117" s="578">
        <f t="shared" si="25"/>
        <v>163023969.56765977</v>
      </c>
      <c r="F117" s="578">
        <f t="shared" si="25"/>
        <v>2205713.4500000007</v>
      </c>
      <c r="G117" s="578">
        <f t="shared" si="25"/>
        <v>13092177.18</v>
      </c>
      <c r="H117" s="578">
        <f t="shared" si="25"/>
        <v>81511984.783829883</v>
      </c>
      <c r="I117" s="578">
        <f t="shared" si="1"/>
        <v>68419807.60382989</v>
      </c>
      <c r="J117" s="579">
        <f t="shared" si="2"/>
        <v>0.83938340828381863</v>
      </c>
      <c r="K117" s="580">
        <f>+K118+K130</f>
        <v>163023969.56765977</v>
      </c>
    </row>
    <row r="118" spans="1:11" ht="12.75" customHeight="1" x14ac:dyDescent="0.25">
      <c r="A118" s="518" t="s">
        <v>1298</v>
      </c>
      <c r="B118" s="169"/>
      <c r="C118" s="648">
        <f t="shared" ref="C118:H118" si="26">SUM(C119:C129)</f>
        <v>0</v>
      </c>
      <c r="D118" s="649">
        <f t="shared" si="26"/>
        <v>163023969.56765977</v>
      </c>
      <c r="E118" s="408">
        <f t="shared" si="26"/>
        <v>163023969.56765977</v>
      </c>
      <c r="F118" s="408">
        <f t="shared" si="26"/>
        <v>2202715.9700000007</v>
      </c>
      <c r="G118" s="408">
        <f t="shared" si="26"/>
        <v>13074385.75</v>
      </c>
      <c r="H118" s="408">
        <f t="shared" si="26"/>
        <v>81511984.783829883</v>
      </c>
      <c r="I118" s="258">
        <f t="shared" si="1"/>
        <v>68437599.033829883</v>
      </c>
      <c r="J118" s="575">
        <f t="shared" si="2"/>
        <v>0.8396016759416014</v>
      </c>
      <c r="K118" s="642">
        <f>SUM(K119:K129)</f>
        <v>163023969.56765977</v>
      </c>
    </row>
    <row r="119" spans="1:11" ht="12.75" customHeight="1" x14ac:dyDescent="0.25">
      <c r="A119" s="574" t="s">
        <v>1299</v>
      </c>
      <c r="B119" s="169"/>
      <c r="C119" s="748"/>
      <c r="D119" s="753">
        <v>108029891.92018634</v>
      </c>
      <c r="E119" s="733">
        <v>108029891.92018634</v>
      </c>
      <c r="F119" s="733">
        <v>2132320.5700000008</v>
      </c>
      <c r="G119" s="733">
        <v>12656555.08</v>
      </c>
      <c r="H119" s="733">
        <f>E119/12*6</f>
        <v>54014945.96009317</v>
      </c>
      <c r="I119" s="44">
        <f t="shared" si="1"/>
        <v>41358390.880093172</v>
      </c>
      <c r="J119" s="124">
        <f t="shared" si="2"/>
        <v>0.76568420360263256</v>
      </c>
      <c r="K119" s="735">
        <f>E119</f>
        <v>108029891.92018634</v>
      </c>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v>1728823.5775516906</v>
      </c>
      <c r="E122" s="733">
        <v>1728823.5775516906</v>
      </c>
      <c r="F122" s="733">
        <v>70395.399999999994</v>
      </c>
      <c r="G122" s="733">
        <v>417830.67</v>
      </c>
      <c r="H122" s="733">
        <f>E122/12*6</f>
        <v>864411.78877584531</v>
      </c>
      <c r="I122" s="44">
        <f t="shared" si="1"/>
        <v>446581.11877584533</v>
      </c>
      <c r="J122" s="124">
        <f t="shared" si="2"/>
        <v>0.51663006517794074</v>
      </c>
      <c r="K122" s="735">
        <f>E122</f>
        <v>1728823.5775516906</v>
      </c>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v>53265254.069921724</v>
      </c>
      <c r="E129" s="733">
        <v>53265254.069921724</v>
      </c>
      <c r="F129" s="733"/>
      <c r="G129" s="733"/>
      <c r="H129" s="733">
        <f>E129/12*6</f>
        <v>26632627.034960866</v>
      </c>
      <c r="I129" s="44">
        <f t="shared" si="1"/>
        <v>26632627.034960866</v>
      </c>
      <c r="J129" s="124">
        <f t="shared" si="2"/>
        <v>1</v>
      </c>
      <c r="K129" s="735">
        <f>E129</f>
        <v>53265254.069921724</v>
      </c>
    </row>
    <row r="130" spans="1:11" ht="12.75" customHeight="1" x14ac:dyDescent="0.25">
      <c r="A130" s="518" t="s">
        <v>711</v>
      </c>
      <c r="B130" s="169"/>
      <c r="C130" s="648">
        <f t="shared" ref="C130:H130" si="27">SUM(C131:C133)</f>
        <v>0</v>
      </c>
      <c r="D130" s="649">
        <f t="shared" si="27"/>
        <v>0</v>
      </c>
      <c r="E130" s="408">
        <f t="shared" si="27"/>
        <v>0</v>
      </c>
      <c r="F130" s="408">
        <f t="shared" si="27"/>
        <v>2997.48</v>
      </c>
      <c r="G130" s="408">
        <f t="shared" si="27"/>
        <v>17791.43</v>
      </c>
      <c r="H130" s="408">
        <f t="shared" si="27"/>
        <v>0</v>
      </c>
      <c r="I130" s="258">
        <f t="shared" si="1"/>
        <v>-17791.43</v>
      </c>
      <c r="J130" s="575" t="e">
        <f t="shared" si="2"/>
        <v>#DIV/0!</v>
      </c>
      <c r="K130" s="642">
        <f>SUM(K131:K133)</f>
        <v>0</v>
      </c>
    </row>
    <row r="131" spans="1:11" ht="12.75" customHeight="1" x14ac:dyDescent="0.25">
      <c r="A131" s="574" t="s">
        <v>1309</v>
      </c>
      <c r="B131" s="169"/>
      <c r="C131" s="748"/>
      <c r="D131" s="753"/>
      <c r="E131" s="733"/>
      <c r="F131" s="733">
        <v>2997.48</v>
      </c>
      <c r="G131" s="733">
        <v>17791.43</v>
      </c>
      <c r="H131" s="733"/>
      <c r="I131" s="44">
        <f t="shared" si="1"/>
        <v>-17791.43</v>
      </c>
      <c r="J131" s="124" t="e">
        <f t="shared" si="2"/>
        <v>#DIV/0!</v>
      </c>
      <c r="K131" s="735"/>
    </row>
    <row r="132" spans="1:11" ht="12.75" customHeight="1" x14ac:dyDescent="0.25">
      <c r="A132" s="574" t="s">
        <v>1310</v>
      </c>
      <c r="B132" s="169"/>
      <c r="C132" s="748"/>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8">SUM(C136:C136)</f>
        <v>0</v>
      </c>
      <c r="D135" s="577">
        <f t="shared" si="28"/>
        <v>0</v>
      </c>
      <c r="E135" s="578">
        <f t="shared" si="28"/>
        <v>0</v>
      </c>
      <c r="F135" s="578">
        <f t="shared" si="28"/>
        <v>0</v>
      </c>
      <c r="G135" s="578">
        <f t="shared" si="28"/>
        <v>0</v>
      </c>
      <c r="H135" s="578">
        <f t="shared" si="28"/>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9">IF(I137=0,"",I137/H137)</f>
        <v/>
      </c>
      <c r="K137" s="144"/>
    </row>
    <row r="138" spans="1:11" s="100" customFormat="1" ht="12.75" customHeight="1" x14ac:dyDescent="0.25">
      <c r="A138" s="549" t="s">
        <v>1312</v>
      </c>
      <c r="B138" s="171"/>
      <c r="C138" s="940">
        <f t="shared" ref="C138:H138" si="30">SUM(C139:C140)</f>
        <v>0</v>
      </c>
      <c r="D138" s="941">
        <f t="shared" si="30"/>
        <v>84895040.004187733</v>
      </c>
      <c r="E138" s="942">
        <f t="shared" si="30"/>
        <v>84895040.004187733</v>
      </c>
      <c r="F138" s="942">
        <f t="shared" si="30"/>
        <v>889563.84999999986</v>
      </c>
      <c r="G138" s="942">
        <f t="shared" si="30"/>
        <v>5279991.87</v>
      </c>
      <c r="H138" s="942">
        <f t="shared" si="30"/>
        <v>42447520.002093866</v>
      </c>
      <c r="I138" s="942">
        <f t="shared" ref="I138:I146" si="31">H138-G138</f>
        <v>37167528.132093869</v>
      </c>
      <c r="J138" s="324">
        <f t="shared" si="29"/>
        <v>0.87561129908791979</v>
      </c>
      <c r="K138" s="943">
        <f>SUM(K139:K140)</f>
        <v>84895040.004187733</v>
      </c>
    </row>
    <row r="139" spans="1:11" ht="12.75" customHeight="1" x14ac:dyDescent="0.25">
      <c r="A139" s="517" t="s">
        <v>1313</v>
      </c>
      <c r="B139" s="169"/>
      <c r="C139" s="748"/>
      <c r="D139" s="753"/>
      <c r="E139" s="733"/>
      <c r="F139" s="733"/>
      <c r="G139" s="733"/>
      <c r="H139" s="733"/>
      <c r="I139" s="44">
        <f t="shared" si="31"/>
        <v>0</v>
      </c>
      <c r="J139" s="124" t="str">
        <f t="shared" si="29"/>
        <v/>
      </c>
      <c r="K139" s="735"/>
    </row>
    <row r="140" spans="1:11" ht="12.75" customHeight="1" x14ac:dyDescent="0.25">
      <c r="A140" s="517" t="s">
        <v>1314</v>
      </c>
      <c r="B140" s="169"/>
      <c r="C140" s="648">
        <f t="shared" ref="C140:H140" si="32">SUM(C141:C146)</f>
        <v>0</v>
      </c>
      <c r="D140" s="649">
        <f t="shared" si="32"/>
        <v>84895040.004187733</v>
      </c>
      <c r="E140" s="408">
        <f t="shared" si="32"/>
        <v>84895040.004187733</v>
      </c>
      <c r="F140" s="408">
        <f t="shared" si="32"/>
        <v>889563.84999999986</v>
      </c>
      <c r="G140" s="408">
        <f t="shared" si="32"/>
        <v>5279991.87</v>
      </c>
      <c r="H140" s="408">
        <f t="shared" si="32"/>
        <v>42447520.002093866</v>
      </c>
      <c r="I140" s="258">
        <f t="shared" si="31"/>
        <v>37167528.132093869</v>
      </c>
      <c r="J140" s="575">
        <f t="shared" si="29"/>
        <v>0.87561129908791979</v>
      </c>
      <c r="K140" s="642">
        <f>SUM(K141:K146)</f>
        <v>84895040.004187733</v>
      </c>
    </row>
    <row r="141" spans="1:11" ht="12.75" customHeight="1" x14ac:dyDescent="0.25">
      <c r="A141" s="574" t="s">
        <v>1315</v>
      </c>
      <c r="B141" s="169"/>
      <c r="C141" s="748"/>
      <c r="D141" s="753"/>
      <c r="E141" s="733"/>
      <c r="F141" s="733"/>
      <c r="G141" s="733"/>
      <c r="H141" s="733"/>
      <c r="I141" s="44">
        <f t="shared" si="31"/>
        <v>0</v>
      </c>
      <c r="J141" s="124" t="str">
        <f t="shared" si="29"/>
        <v/>
      </c>
      <c r="K141" s="735"/>
    </row>
    <row r="142" spans="1:11" ht="12.75" customHeight="1" x14ac:dyDescent="0.25">
      <c r="A142" s="574" t="s">
        <v>1316</v>
      </c>
      <c r="B142" s="169"/>
      <c r="C142" s="748"/>
      <c r="D142" s="753"/>
      <c r="E142" s="733"/>
      <c r="F142" s="733"/>
      <c r="G142" s="733"/>
      <c r="H142" s="733"/>
      <c r="I142" s="44">
        <f t="shared" si="31"/>
        <v>0</v>
      </c>
      <c r="J142" s="124" t="str">
        <f t="shared" si="29"/>
        <v/>
      </c>
      <c r="K142" s="735"/>
    </row>
    <row r="143" spans="1:11" ht="12.75" customHeight="1" x14ac:dyDescent="0.25">
      <c r="A143" s="574" t="s">
        <v>1317</v>
      </c>
      <c r="B143" s="169"/>
      <c r="C143" s="748"/>
      <c r="D143" s="753"/>
      <c r="E143" s="733"/>
      <c r="F143" s="733"/>
      <c r="G143" s="733"/>
      <c r="H143" s="733"/>
      <c r="I143" s="44">
        <f t="shared" si="31"/>
        <v>0</v>
      </c>
      <c r="J143" s="124" t="str">
        <f t="shared" si="29"/>
        <v/>
      </c>
      <c r="K143" s="735"/>
    </row>
    <row r="144" spans="1:11" ht="12.75" customHeight="1" x14ac:dyDescent="0.25">
      <c r="A144" s="574" t="s">
        <v>1318</v>
      </c>
      <c r="B144" s="169"/>
      <c r="C144" s="748"/>
      <c r="D144" s="753">
        <v>83121985.914557993</v>
      </c>
      <c r="E144" s="733">
        <v>83121985.914557993</v>
      </c>
      <c r="F144" s="733">
        <v>889563.84999999986</v>
      </c>
      <c r="G144" s="733">
        <v>5279991.87</v>
      </c>
      <c r="H144" s="733">
        <f t="shared" ref="H144:H145" si="33">E144/12*6</f>
        <v>41560992.957278997</v>
      </c>
      <c r="I144" s="44">
        <f t="shared" si="31"/>
        <v>36281001.087278999</v>
      </c>
      <c r="J144" s="124">
        <f t="shared" si="29"/>
        <v>0.87295799512231675</v>
      </c>
      <c r="K144" s="735">
        <f t="shared" ref="K144:K145" si="34">E144</f>
        <v>83121985.914557993</v>
      </c>
    </row>
    <row r="145" spans="1:12" ht="12.75" customHeight="1" x14ac:dyDescent="0.25">
      <c r="A145" s="574" t="s">
        <v>1319</v>
      </c>
      <c r="B145" s="169"/>
      <c r="C145" s="748"/>
      <c r="D145" s="753">
        <v>1773054.0896297402</v>
      </c>
      <c r="E145" s="733">
        <v>1773054.0896297402</v>
      </c>
      <c r="F145" s="733"/>
      <c r="G145" s="733"/>
      <c r="H145" s="733">
        <f t="shared" si="33"/>
        <v>886527.04481487023</v>
      </c>
      <c r="I145" s="44">
        <f t="shared" si="31"/>
        <v>886527.04481487023</v>
      </c>
      <c r="J145" s="124">
        <f t="shared" si="29"/>
        <v>1</v>
      </c>
      <c r="K145" s="735">
        <f t="shared" si="34"/>
        <v>1773054.0896297402</v>
      </c>
    </row>
    <row r="146" spans="1:12" ht="12.75" customHeight="1" x14ac:dyDescent="0.25">
      <c r="A146" s="574" t="s">
        <v>1320</v>
      </c>
      <c r="B146" s="169"/>
      <c r="C146" s="748"/>
      <c r="D146" s="753"/>
      <c r="E146" s="733"/>
      <c r="F146" s="733"/>
      <c r="G146" s="733"/>
      <c r="H146" s="733"/>
      <c r="I146" s="44">
        <f t="shared" si="31"/>
        <v>0</v>
      </c>
      <c r="J146" s="124" t="str">
        <f t="shared" si="29"/>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35">SUM(C149:C149)</f>
        <v>0</v>
      </c>
      <c r="D148" s="577">
        <f t="shared" si="35"/>
        <v>65065902.198033363</v>
      </c>
      <c r="E148" s="578">
        <f t="shared" si="35"/>
        <v>57565902.473793715</v>
      </c>
      <c r="F148" s="578">
        <f t="shared" si="35"/>
        <v>868031.5</v>
      </c>
      <c r="G148" s="578">
        <f t="shared" si="35"/>
        <v>5063475.96</v>
      </c>
      <c r="H148" s="578">
        <f t="shared" si="35"/>
        <v>28782951.236896858</v>
      </c>
      <c r="I148" s="578">
        <f>H148-G148</f>
        <v>23719475.276896857</v>
      </c>
      <c r="J148" s="324">
        <f>IF(I148=0,"",I148/H148)</f>
        <v>0.82408072340027694</v>
      </c>
      <c r="K148" s="580">
        <f>SUM(K149)</f>
        <v>57565902.473793715</v>
      </c>
    </row>
    <row r="149" spans="1:12" ht="12.75" customHeight="1" x14ac:dyDescent="0.25">
      <c r="A149" s="518" t="s">
        <v>1321</v>
      </c>
      <c r="B149" s="169"/>
      <c r="C149" s="748"/>
      <c r="D149" s="753">
        <v>65065902.198033363</v>
      </c>
      <c r="E149" s="733">
        <v>57565902.473793715</v>
      </c>
      <c r="F149" s="733">
        <v>868031.5</v>
      </c>
      <c r="G149" s="733">
        <v>5063475.96</v>
      </c>
      <c r="H149" s="733">
        <f>E149/12*6</f>
        <v>28782951.236896858</v>
      </c>
      <c r="I149" s="44">
        <f>H149-G149</f>
        <v>23719475.276896857</v>
      </c>
      <c r="J149" s="124">
        <f>IF(I149=0,"",I149/H149)</f>
        <v>0.82408072340027694</v>
      </c>
      <c r="K149" s="735">
        <f>E149</f>
        <v>57565902.473793715</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36">SUM(C152:C152)</f>
        <v>0</v>
      </c>
      <c r="D151" s="577">
        <f t="shared" si="36"/>
        <v>27965528.287261501</v>
      </c>
      <c r="E151" s="578">
        <f t="shared" si="36"/>
        <v>27965528.287261501</v>
      </c>
      <c r="F151" s="578">
        <f t="shared" si="36"/>
        <v>138650.37999999995</v>
      </c>
      <c r="G151" s="578">
        <f t="shared" si="36"/>
        <v>817692.8600000001</v>
      </c>
      <c r="H151" s="578">
        <f t="shared" si="36"/>
        <v>13982764.14363075</v>
      </c>
      <c r="I151" s="578">
        <f>H151-G151</f>
        <v>13165071.283630751</v>
      </c>
      <c r="J151" s="324">
        <f>IF(I151=0,"",I151/H151)</f>
        <v>0.94152137219789522</v>
      </c>
      <c r="K151" s="580">
        <f>SUM(K152)</f>
        <v>27965528.287261501</v>
      </c>
    </row>
    <row r="152" spans="1:12" ht="12.75" customHeight="1" x14ac:dyDescent="0.25">
      <c r="A152" s="518" t="s">
        <v>1322</v>
      </c>
      <c r="B152" s="169"/>
      <c r="C152" s="748"/>
      <c r="D152" s="753">
        <v>27965528.287261501</v>
      </c>
      <c r="E152" s="733">
        <v>27965528.287261501</v>
      </c>
      <c r="F152" s="733">
        <v>138650.37999999995</v>
      </c>
      <c r="G152" s="733">
        <v>817692.8600000001</v>
      </c>
      <c r="H152" s="733">
        <f>E152/12*6</f>
        <v>13982764.14363075</v>
      </c>
      <c r="I152" s="44">
        <f>H152-G152</f>
        <v>13165071.283630751</v>
      </c>
      <c r="J152" s="124">
        <f>IF(I152=0,"",I152/H152)</f>
        <v>0.94152137219789522</v>
      </c>
      <c r="K152" s="735">
        <f>E152</f>
        <v>27965528.287261501</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37">SUM(C155:C155)</f>
        <v>0</v>
      </c>
      <c r="D154" s="577">
        <f t="shared" si="37"/>
        <v>7418705.5248501254</v>
      </c>
      <c r="E154" s="578">
        <f t="shared" si="37"/>
        <v>8368705.5248501254</v>
      </c>
      <c r="F154" s="578">
        <f t="shared" si="37"/>
        <v>753171.05000000051</v>
      </c>
      <c r="G154" s="578">
        <f t="shared" si="37"/>
        <v>4398203.6700000009</v>
      </c>
      <c r="H154" s="578">
        <f t="shared" si="37"/>
        <v>4184352.7624250632</v>
      </c>
      <c r="I154" s="578">
        <f>H154-G154</f>
        <v>-213850.90757493768</v>
      </c>
      <c r="J154" s="324">
        <f>IF(I154=0,"",I154/H154)</f>
        <v>-5.110728461885209E-2</v>
      </c>
      <c r="K154" s="580">
        <f>SUM(K155)</f>
        <v>8368705.5248501254</v>
      </c>
    </row>
    <row r="155" spans="1:12" ht="12.75" customHeight="1" x14ac:dyDescent="0.25">
      <c r="A155" s="518" t="s">
        <v>1323</v>
      </c>
      <c r="B155" s="169"/>
      <c r="C155" s="748"/>
      <c r="D155" s="753">
        <v>7418705.5248501254</v>
      </c>
      <c r="E155" s="733">
        <v>8368705.5248501254</v>
      </c>
      <c r="F155" s="733">
        <v>753171.05000000051</v>
      </c>
      <c r="G155" s="733">
        <v>4398203.6700000009</v>
      </c>
      <c r="H155" s="733">
        <f>E155/12*6</f>
        <v>4184352.7624250632</v>
      </c>
      <c r="I155" s="44">
        <f>H155-G155</f>
        <v>-213850.90757493768</v>
      </c>
      <c r="J155" s="124">
        <f>IF(I155=0,"",I155/H155)</f>
        <v>-5.110728461885209E-2</v>
      </c>
      <c r="K155" s="735">
        <f>E155</f>
        <v>8368705.5248501254</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8">SUM(C158:C158)</f>
        <v>0</v>
      </c>
      <c r="D157" s="577">
        <f t="shared" si="38"/>
        <v>106660.31115601346</v>
      </c>
      <c r="E157" s="578">
        <f t="shared" si="38"/>
        <v>106660.31115601346</v>
      </c>
      <c r="F157" s="578">
        <f t="shared" si="38"/>
        <v>1288571.0700000003</v>
      </c>
      <c r="G157" s="578">
        <f t="shared" si="38"/>
        <v>7354505.0199999986</v>
      </c>
      <c r="H157" s="578">
        <f t="shared" si="38"/>
        <v>53330.155578006728</v>
      </c>
      <c r="I157" s="578">
        <f>H157-G157</f>
        <v>-7301174.8644219916</v>
      </c>
      <c r="J157" s="324">
        <f>IF(I157=0,"",I157/H157)</f>
        <v>-136.90518591760841</v>
      </c>
      <c r="K157" s="580">
        <f>SUM(K158)</f>
        <v>106660.31115601346</v>
      </c>
    </row>
    <row r="158" spans="1:12" ht="12.75" customHeight="1" x14ac:dyDescent="0.25">
      <c r="A158" s="518" t="s">
        <v>1324</v>
      </c>
      <c r="B158" s="169"/>
      <c r="C158" s="748"/>
      <c r="D158" s="753">
        <v>106660.31115601346</v>
      </c>
      <c r="E158" s="733">
        <v>106660.31115601346</v>
      </c>
      <c r="F158" s="733">
        <v>1288571.0700000003</v>
      </c>
      <c r="G158" s="733">
        <v>7354505.0199999986</v>
      </c>
      <c r="H158" s="733">
        <f>E158/12*6</f>
        <v>53330.155578006728</v>
      </c>
      <c r="I158" s="44">
        <f>H158-G158</f>
        <v>-7301174.8644219916</v>
      </c>
      <c r="J158" s="124">
        <f>IF(I158=0,"",I158/H158)</f>
        <v>-136.90518591760841</v>
      </c>
      <c r="K158" s="735">
        <f>E158</f>
        <v>106660.31115601346</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9">SUM(C161:C161)</f>
        <v>0</v>
      </c>
      <c r="D160" s="577">
        <f t="shared" si="39"/>
        <v>0</v>
      </c>
      <c r="E160" s="578">
        <f t="shared" si="39"/>
        <v>0</v>
      </c>
      <c r="F160" s="578">
        <f t="shared" si="39"/>
        <v>0</v>
      </c>
      <c r="G160" s="578">
        <f t="shared" si="39"/>
        <v>0</v>
      </c>
      <c r="H160" s="578">
        <f t="shared" si="39"/>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40">SUM(C164:C164)</f>
        <v>0</v>
      </c>
      <c r="D163" s="577">
        <f t="shared" si="40"/>
        <v>0</v>
      </c>
      <c r="E163" s="578">
        <f t="shared" si="40"/>
        <v>0</v>
      </c>
      <c r="F163" s="578">
        <f t="shared" si="40"/>
        <v>0</v>
      </c>
      <c r="G163" s="578">
        <f t="shared" si="40"/>
        <v>0</v>
      </c>
      <c r="H163" s="578">
        <f t="shared" si="40"/>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1075</v>
      </c>
      <c r="B166" s="236">
        <v>1</v>
      </c>
      <c r="C166" s="112">
        <f t="shared" ref="C166:H166" si="41">C7+C75+C103+C110+C117+C135+C138+C148+C151+C154+C157+C160+C163</f>
        <v>0</v>
      </c>
      <c r="D166" s="271">
        <f t="shared" si="41"/>
        <v>488991448.27473986</v>
      </c>
      <c r="E166" s="55">
        <f t="shared" si="41"/>
        <v>482441448.55050027</v>
      </c>
      <c r="F166" s="55">
        <f t="shared" si="41"/>
        <v>35914041.079999998</v>
      </c>
      <c r="G166" s="55">
        <f t="shared" si="41"/>
        <v>212704758.87000018</v>
      </c>
      <c r="H166" s="55">
        <f t="shared" si="41"/>
        <v>241220724.27525014</v>
      </c>
      <c r="I166" s="55">
        <f t="shared" si="1"/>
        <v>28515965.405249953</v>
      </c>
      <c r="J166" s="290">
        <f t="shared" si="2"/>
        <v>0.11821523830892404</v>
      </c>
      <c r="K166" s="235">
        <f>K7+K75+K103+K110+K117+K135+K138+K148+K151+K154+K157+K160+K163</f>
        <v>482441448.55050027</v>
      </c>
    </row>
    <row r="167" spans="1:11" ht="12.75" customHeight="1" x14ac:dyDescent="0.25">
      <c r="A167" s="703"/>
      <c r="B167" s="58"/>
      <c r="C167" s="62"/>
      <c r="D167" s="62"/>
      <c r="E167" s="62"/>
      <c r="F167" s="62"/>
      <c r="G167" s="62"/>
      <c r="H167" s="62"/>
      <c r="I167" s="62"/>
      <c r="J167" s="62"/>
      <c r="K167" s="62"/>
    </row>
    <row r="168" spans="1:11" ht="11.25" customHeight="1" x14ac:dyDescent="0.25">
      <c r="A168" s="703"/>
      <c r="B168" s="58"/>
      <c r="C168" s="62"/>
      <c r="D168" s="62"/>
      <c r="E168" s="62"/>
      <c r="F168" s="62"/>
      <c r="G168" s="62"/>
      <c r="H168" s="62"/>
      <c r="I168" s="62"/>
      <c r="J168" s="62"/>
      <c r="K168" s="62"/>
    </row>
    <row r="169" spans="1:11" ht="11.25" customHeight="1" x14ac:dyDescent="0.25">
      <c r="A169" s="703"/>
      <c r="B169" s="64"/>
      <c r="C169" s="135"/>
      <c r="D169" s="135"/>
      <c r="E169" s="135"/>
      <c r="F169" s="118"/>
      <c r="G169" s="118"/>
      <c r="H169" s="118"/>
      <c r="I169" s="118"/>
      <c r="J169" s="118"/>
      <c r="K169" s="118"/>
    </row>
    <row r="170" spans="1:11" ht="11.25" customHeight="1" x14ac:dyDescent="0.25">
      <c r="A170" s="703"/>
    </row>
    <row r="171" spans="1:11" ht="11.25" customHeight="1" x14ac:dyDescent="0.25">
      <c r="A171" s="703"/>
    </row>
    <row r="172" spans="1:11" ht="11.25" customHeight="1" x14ac:dyDescent="0.25">
      <c r="A172" s="703"/>
    </row>
    <row r="173" spans="1:11" ht="11.25" customHeight="1" x14ac:dyDescent="0.25">
      <c r="A173" s="887"/>
    </row>
    <row r="174" spans="1:11" ht="11.25" customHeight="1" x14ac:dyDescent="0.25">
      <c r="A174" s="887"/>
    </row>
    <row r="175" spans="1:11" ht="11.25" customHeight="1" x14ac:dyDescent="0.25">
      <c r="A175" s="887"/>
    </row>
    <row r="176" spans="1:11" ht="11.25" customHeight="1" x14ac:dyDescent="0.25">
      <c r="A176" s="887"/>
    </row>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sheetData>
  <sheetProtection sheet="1" objects="1" scenarios="1"/>
  <mergeCells count="3">
    <mergeCell ref="A1:K1"/>
    <mergeCell ref="A2:A3"/>
    <mergeCell ref="B2:B3"/>
  </mergeCells>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2"/>
  </sheetPr>
  <dimension ref="A1:L206"/>
  <sheetViews>
    <sheetView showGridLines="0" workbookViewId="0">
      <pane xSplit="2" ySplit="4" topLeftCell="C131" activePane="bottomRight" state="frozen"/>
      <selection pane="topRight"/>
      <selection pane="bottomLeft"/>
      <selection pane="bottomRight" activeCell="K174" sqref="K174"/>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57" t="str">
        <f>muni&amp; " - "&amp;S71Se&amp; " - "&amp;Head57</f>
        <v>KZN225 Msunduzi - Supporting Table SC13e Monthly Budget Statement - capital expenditure on upgrading of existing assets by asset class - Mid-Year Assessment</v>
      </c>
      <c r="B1" s="1057"/>
      <c r="C1" s="1057"/>
      <c r="D1" s="1057"/>
      <c r="E1" s="1057"/>
      <c r="F1" s="1057"/>
      <c r="G1" s="1057"/>
      <c r="H1" s="1057"/>
      <c r="I1" s="1057"/>
      <c r="J1" s="1057"/>
      <c r="K1" s="1057"/>
    </row>
    <row r="2" spans="1:11" x14ac:dyDescent="0.25">
      <c r="A2" s="1042" t="str">
        <f>desc</f>
        <v>Description</v>
      </c>
      <c r="B2" s="1035" t="str">
        <f>head27</f>
        <v>Ref</v>
      </c>
      <c r="C2" s="139" t="str">
        <f>Head1</f>
        <v>2019/20</v>
      </c>
      <c r="D2" s="245" t="str">
        <f>Head2</f>
        <v>Budget Year 2020/21</v>
      </c>
      <c r="E2" s="229"/>
      <c r="F2" s="229"/>
      <c r="G2" s="229"/>
      <c r="H2" s="229"/>
      <c r="I2" s="229"/>
      <c r="J2" s="229"/>
      <c r="K2" s="230"/>
    </row>
    <row r="3" spans="1:11" ht="25.5" x14ac:dyDescent="0.25">
      <c r="A3" s="1043"/>
      <c r="B3" s="1046"/>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1327</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57031962.017634988</v>
      </c>
      <c r="E7" s="102">
        <f t="shared" si="0"/>
        <v>57031962.017634988</v>
      </c>
      <c r="F7" s="102">
        <f t="shared" si="0"/>
        <v>57645544.509999998</v>
      </c>
      <c r="G7" s="102">
        <f t="shared" si="0"/>
        <v>171286195.43000001</v>
      </c>
      <c r="H7" s="102">
        <f t="shared" si="0"/>
        <v>28515981.008817494</v>
      </c>
      <c r="I7" s="101">
        <f t="shared" ref="I7:I133" si="1">H7-G7</f>
        <v>-142770214.42118251</v>
      </c>
      <c r="J7" s="579">
        <f t="shared" ref="J7:J136" si="2">IF(I7=0,"",I7/H7)</f>
        <v>-5.0066737797670786</v>
      </c>
      <c r="K7" s="603">
        <f>K8+K13+K17+K27+K38+K45+K53+K63+K69</f>
        <v>57031962.017634988</v>
      </c>
    </row>
    <row r="8" spans="1:11" ht="12.75" customHeight="1" x14ac:dyDescent="0.25">
      <c r="A8" s="518" t="s">
        <v>1216</v>
      </c>
      <c r="B8" s="169"/>
      <c r="C8" s="677">
        <f t="shared" ref="C8:H8" si="3">SUM(C9:C12)</f>
        <v>0</v>
      </c>
      <c r="D8" s="609">
        <f t="shared" si="3"/>
        <v>31255314.729466628</v>
      </c>
      <c r="E8" s="608">
        <f t="shared" si="3"/>
        <v>31255314.729466628</v>
      </c>
      <c r="F8" s="608">
        <f t="shared" si="3"/>
        <v>39437566.219999999</v>
      </c>
      <c r="G8" s="608">
        <f t="shared" si="3"/>
        <v>109645843.29000001</v>
      </c>
      <c r="H8" s="608">
        <f t="shared" si="3"/>
        <v>15627657.364733314</v>
      </c>
      <c r="I8" s="258">
        <f t="shared" si="1"/>
        <v>-94018185.925266698</v>
      </c>
      <c r="J8" s="575">
        <f t="shared" si="2"/>
        <v>-6.0161407260845152</v>
      </c>
      <c r="K8" s="610">
        <f>SUM(K9:K12)</f>
        <v>31255314.729466628</v>
      </c>
    </row>
    <row r="9" spans="1:11" ht="12.75" customHeight="1" x14ac:dyDescent="0.25">
      <c r="A9" s="574" t="s">
        <v>168</v>
      </c>
      <c r="B9" s="169"/>
      <c r="C9" s="748"/>
      <c r="D9" s="745">
        <v>31255314.729466628</v>
      </c>
      <c r="E9" s="733">
        <v>31255314.729466628</v>
      </c>
      <c r="F9" s="733">
        <v>39437566.219999999</v>
      </c>
      <c r="G9" s="733">
        <v>109645843.29000001</v>
      </c>
      <c r="H9" s="733">
        <f>E9/12*6</f>
        <v>15627657.364733314</v>
      </c>
      <c r="I9" s="258">
        <f t="shared" si="1"/>
        <v>-94018185.925266698</v>
      </c>
      <c r="J9" s="575">
        <f t="shared" si="2"/>
        <v>-6.0161407260845152</v>
      </c>
      <c r="K9" s="735">
        <f>E9</f>
        <v>31255314.729466628</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16185479.849562876</v>
      </c>
      <c r="E17" s="408">
        <f t="shared" si="5"/>
        <v>16185479.849562876</v>
      </c>
      <c r="F17" s="408">
        <f t="shared" si="5"/>
        <v>0</v>
      </c>
      <c r="G17" s="408">
        <f t="shared" si="5"/>
        <v>0</v>
      </c>
      <c r="H17" s="408">
        <f t="shared" si="5"/>
        <v>8092739.924781438</v>
      </c>
      <c r="I17" s="258">
        <f t="shared" si="1"/>
        <v>8092739.924781438</v>
      </c>
      <c r="J17" s="575">
        <f t="shared" si="2"/>
        <v>1</v>
      </c>
      <c r="K17" s="642">
        <f>SUM(K18:K26)</f>
        <v>16185479.849562876</v>
      </c>
    </row>
    <row r="18" spans="1:11" ht="12.75" customHeight="1" x14ac:dyDescent="0.25">
      <c r="A18" s="574" t="s">
        <v>1225</v>
      </c>
      <c r="B18" s="169"/>
      <c r="C18" s="748"/>
      <c r="D18" s="745">
        <v>16185479.849562876</v>
      </c>
      <c r="E18" s="733">
        <v>16185479.849562876</v>
      </c>
      <c r="F18" s="733"/>
      <c r="G18" s="733"/>
      <c r="H18" s="733">
        <f>E18/12*6</f>
        <v>8092739.924781438</v>
      </c>
      <c r="I18" s="258">
        <f t="shared" si="1"/>
        <v>8092739.924781438</v>
      </c>
      <c r="J18" s="575">
        <f t="shared" si="2"/>
        <v>1</v>
      </c>
      <c r="K18" s="735">
        <f>E18</f>
        <v>16185479.849562876</v>
      </c>
    </row>
    <row r="19" spans="1:11" ht="12.75" customHeight="1" x14ac:dyDescent="0.25">
      <c r="A19" s="574" t="s">
        <v>1226</v>
      </c>
      <c r="B19" s="169"/>
      <c r="C19" s="748"/>
      <c r="D19" s="745"/>
      <c r="E19" s="733"/>
      <c r="F19" s="733"/>
      <c r="G19" s="733"/>
      <c r="H19" s="733"/>
      <c r="I19" s="258">
        <f t="shared" si="1"/>
        <v>0</v>
      </c>
      <c r="J19" s="575" t="str">
        <f t="shared" si="2"/>
        <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5463210.4661875041</v>
      </c>
      <c r="E27" s="408">
        <f t="shared" si="6"/>
        <v>5463210.4661875041</v>
      </c>
      <c r="F27" s="408">
        <f t="shared" si="6"/>
        <v>11073454.039999999</v>
      </c>
      <c r="G27" s="408">
        <f t="shared" si="6"/>
        <v>32131961.899999999</v>
      </c>
      <c r="H27" s="408">
        <f t="shared" si="6"/>
        <v>2731605.2330937521</v>
      </c>
      <c r="I27" s="258">
        <f t="shared" si="1"/>
        <v>-29400356.666906245</v>
      </c>
      <c r="J27" s="575">
        <f t="shared" si="2"/>
        <v>-10.763032780402201</v>
      </c>
      <c r="K27" s="642">
        <f>SUM(K28:K37)</f>
        <v>5463210.4661875041</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v>5463210.4661875041</v>
      </c>
      <c r="E30" s="733">
        <v>5463210.4661875041</v>
      </c>
      <c r="F30" s="733"/>
      <c r="G30" s="733">
        <v>7344312.0299999993</v>
      </c>
      <c r="H30" s="733">
        <f>E30/12*6</f>
        <v>2731605.2330937521</v>
      </c>
      <c r="I30" s="258">
        <f t="shared" si="1"/>
        <v>-4612706.7969062477</v>
      </c>
      <c r="J30" s="575">
        <f t="shared" si="2"/>
        <v>-1.6886432713712458</v>
      </c>
      <c r="K30" s="735">
        <f>E30</f>
        <v>5463210.4661875041</v>
      </c>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v>11073454.039999999</v>
      </c>
      <c r="G34" s="733">
        <v>24787649.870000001</v>
      </c>
      <c r="H34" s="733"/>
      <c r="I34" s="258">
        <f t="shared" si="1"/>
        <v>-24787649.870000001</v>
      </c>
      <c r="J34" s="575" t="e">
        <f t="shared" si="2"/>
        <v>#DIV/0!</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0</v>
      </c>
      <c r="E38" s="408">
        <f t="shared" si="7"/>
        <v>0</v>
      </c>
      <c r="F38" s="408">
        <f t="shared" si="7"/>
        <v>7134524.25</v>
      </c>
      <c r="G38" s="408">
        <f t="shared" si="7"/>
        <v>27976382.590000004</v>
      </c>
      <c r="H38" s="408">
        <f t="shared" si="7"/>
        <v>0</v>
      </c>
      <c r="I38" s="258">
        <f t="shared" si="1"/>
        <v>-27976382.590000004</v>
      </c>
      <c r="J38" s="575" t="e">
        <f t="shared" si="2"/>
        <v>#DIV/0!</v>
      </c>
      <c r="K38" s="642">
        <f>SUM(K39:K44)</f>
        <v>0</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v>7134524.25</v>
      </c>
      <c r="G40" s="733">
        <v>23134486.730000004</v>
      </c>
      <c r="H40" s="733"/>
      <c r="I40" s="258">
        <f t="shared" si="1"/>
        <v>-23134486.730000004</v>
      </c>
      <c r="J40" s="575" t="e">
        <f t="shared" si="2"/>
        <v>#DIV/0!</v>
      </c>
      <c r="K40" s="735"/>
    </row>
    <row r="41" spans="1:11" ht="12.75" customHeight="1" x14ac:dyDescent="0.25">
      <c r="A41" s="574" t="s">
        <v>1245</v>
      </c>
      <c r="B41" s="169"/>
      <c r="C41" s="748"/>
      <c r="D41" s="745"/>
      <c r="E41" s="733"/>
      <c r="F41" s="733"/>
      <c r="G41" s="733"/>
      <c r="H41" s="733"/>
      <c r="I41" s="258">
        <f t="shared" si="1"/>
        <v>0</v>
      </c>
      <c r="J41" s="575" t="str">
        <f t="shared" si="2"/>
        <v/>
      </c>
      <c r="K41" s="735"/>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v>4841895.8600000003</v>
      </c>
      <c r="H43" s="733"/>
      <c r="I43" s="258">
        <f t="shared" si="1"/>
        <v>-4841895.8600000003</v>
      </c>
      <c r="J43" s="575" t="e">
        <f t="shared" si="2"/>
        <v>#DIV/0!</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8">SUM(C46:C52)</f>
        <v>0</v>
      </c>
      <c r="D45" s="649">
        <f t="shared" si="8"/>
        <v>4127956.9724179767</v>
      </c>
      <c r="E45" s="408">
        <f t="shared" si="8"/>
        <v>4127956.9724179767</v>
      </c>
      <c r="F45" s="408">
        <f t="shared" si="8"/>
        <v>0</v>
      </c>
      <c r="G45" s="408">
        <f t="shared" si="8"/>
        <v>1532007.65</v>
      </c>
      <c r="H45" s="408">
        <f t="shared" si="8"/>
        <v>2063978.4862089884</v>
      </c>
      <c r="I45" s="258">
        <f t="shared" si="1"/>
        <v>531970.83620898845</v>
      </c>
      <c r="J45" s="575">
        <f t="shared" si="2"/>
        <v>0.25774049475975191</v>
      </c>
      <c r="K45" s="642">
        <f>SUM(K46:K52)</f>
        <v>4127956.9724179767</v>
      </c>
    </row>
    <row r="46" spans="1:11" ht="12.75" customHeight="1" x14ac:dyDescent="0.25">
      <c r="A46" s="574" t="s">
        <v>1249</v>
      </c>
      <c r="B46" s="169"/>
      <c r="C46" s="748"/>
      <c r="D46" s="745">
        <v>4127956.9724179767</v>
      </c>
      <c r="E46" s="733">
        <v>4127956.9724179767</v>
      </c>
      <c r="F46" s="733"/>
      <c r="G46" s="733">
        <v>1532007.65</v>
      </c>
      <c r="H46" s="733">
        <f>E46/12*6</f>
        <v>2063978.4862089884</v>
      </c>
      <c r="I46" s="258">
        <f t="shared" si="1"/>
        <v>531970.83620898845</v>
      </c>
      <c r="J46" s="575">
        <f t="shared" si="2"/>
        <v>0.25774049475975191</v>
      </c>
      <c r="K46" s="735">
        <f>E46</f>
        <v>4127956.9724179767</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9">SUM(C54:C62)</f>
        <v>0</v>
      </c>
      <c r="D53" s="649">
        <f t="shared" si="9"/>
        <v>0</v>
      </c>
      <c r="E53" s="408">
        <f t="shared" si="9"/>
        <v>0</v>
      </c>
      <c r="F53" s="408">
        <f t="shared" si="9"/>
        <v>0</v>
      </c>
      <c r="G53" s="408">
        <f t="shared" si="9"/>
        <v>0</v>
      </c>
      <c r="H53" s="408">
        <f t="shared" si="9"/>
        <v>0</v>
      </c>
      <c r="I53" s="258">
        <f t="shared" si="1"/>
        <v>0</v>
      </c>
      <c r="J53" s="575" t="str">
        <f t="shared" si="2"/>
        <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0">SUM(C64:C68)</f>
        <v>0</v>
      </c>
      <c r="D63" s="649">
        <f t="shared" si="10"/>
        <v>0</v>
      </c>
      <c r="E63" s="408">
        <f t="shared" si="10"/>
        <v>0</v>
      </c>
      <c r="F63" s="408">
        <f t="shared" si="10"/>
        <v>0</v>
      </c>
      <c r="G63" s="408">
        <f t="shared" si="10"/>
        <v>0</v>
      </c>
      <c r="H63" s="408">
        <f t="shared" si="10"/>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1">SUM(C70:C73)</f>
        <v>0</v>
      </c>
      <c r="D69" s="649">
        <f t="shared" si="11"/>
        <v>0</v>
      </c>
      <c r="E69" s="408">
        <f t="shared" si="11"/>
        <v>0</v>
      </c>
      <c r="F69" s="408">
        <f t="shared" si="11"/>
        <v>0</v>
      </c>
      <c r="G69" s="408">
        <f t="shared" si="11"/>
        <v>0</v>
      </c>
      <c r="H69" s="408">
        <f t="shared" si="11"/>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2">+C76+C99</f>
        <v>0</v>
      </c>
      <c r="D75" s="577">
        <f t="shared" si="12"/>
        <v>0</v>
      </c>
      <c r="E75" s="578">
        <f t="shared" si="12"/>
        <v>10000000</v>
      </c>
      <c r="F75" s="578">
        <f t="shared" si="12"/>
        <v>492199</v>
      </c>
      <c r="G75" s="578">
        <f t="shared" si="12"/>
        <v>720561.88</v>
      </c>
      <c r="H75" s="578">
        <f t="shared" si="12"/>
        <v>5000000</v>
      </c>
      <c r="I75" s="578">
        <f t="shared" si="1"/>
        <v>4279438.12</v>
      </c>
      <c r="J75" s="579">
        <f t="shared" si="2"/>
        <v>0.85588762400000007</v>
      </c>
      <c r="K75" s="580">
        <f>+K76+K99</f>
        <v>10000000</v>
      </c>
    </row>
    <row r="76" spans="1:11" ht="12.75" customHeight="1" x14ac:dyDescent="0.25">
      <c r="A76" s="518" t="s">
        <v>1268</v>
      </c>
      <c r="B76" s="169"/>
      <c r="C76" s="648">
        <f t="shared" ref="C76:H76" si="13">SUM(C77:C98)</f>
        <v>0</v>
      </c>
      <c r="D76" s="649">
        <f t="shared" si="13"/>
        <v>0</v>
      </c>
      <c r="E76" s="408">
        <f t="shared" si="13"/>
        <v>10000000</v>
      </c>
      <c r="F76" s="408">
        <f t="shared" si="13"/>
        <v>492199</v>
      </c>
      <c r="G76" s="408">
        <f t="shared" si="13"/>
        <v>720561.88</v>
      </c>
      <c r="H76" s="408">
        <f t="shared" si="13"/>
        <v>5000000</v>
      </c>
      <c r="I76" s="258">
        <f t="shared" si="1"/>
        <v>4279438.12</v>
      </c>
      <c r="J76" s="575">
        <f t="shared" si="2"/>
        <v>0.85588762400000007</v>
      </c>
      <c r="K76" s="642">
        <f>SUM(K77:K98)</f>
        <v>10000000</v>
      </c>
    </row>
    <row r="77" spans="1:11" ht="12.75" customHeight="1" x14ac:dyDescent="0.25">
      <c r="A77" s="574" t="s">
        <v>1269</v>
      </c>
      <c r="B77" s="169"/>
      <c r="C77" s="748"/>
      <c r="D77" s="753"/>
      <c r="E77" s="733">
        <v>10000000</v>
      </c>
      <c r="F77" s="733"/>
      <c r="G77" s="733">
        <v>228362.88</v>
      </c>
      <c r="H77" s="733">
        <f>E77/12*6</f>
        <v>5000000</v>
      </c>
      <c r="I77" s="44">
        <f t="shared" si="1"/>
        <v>4771637.12</v>
      </c>
      <c r="J77" s="124">
        <f t="shared" si="2"/>
        <v>0.95432742400000004</v>
      </c>
      <c r="K77" s="735">
        <f>E77</f>
        <v>10000000</v>
      </c>
    </row>
    <row r="78" spans="1:11" ht="12.75" customHeight="1" x14ac:dyDescent="0.25">
      <c r="A78" s="574" t="s">
        <v>1270</v>
      </c>
      <c r="B78" s="169"/>
      <c r="C78" s="748"/>
      <c r="D78" s="753"/>
      <c r="E78" s="733"/>
      <c r="F78" s="733"/>
      <c r="G78" s="733"/>
      <c r="H78" s="733"/>
      <c r="I78" s="44">
        <f t="shared" si="1"/>
        <v>0</v>
      </c>
      <c r="J78" s="124" t="str">
        <f t="shared" si="2"/>
        <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c r="E80" s="733"/>
      <c r="F80" s="733"/>
      <c r="G80" s="733"/>
      <c r="H80" s="733"/>
      <c r="I80" s="44">
        <f t="shared" si="1"/>
        <v>0</v>
      </c>
      <c r="J80" s="124" t="str">
        <f t="shared" si="2"/>
        <v/>
      </c>
      <c r="K80" s="735"/>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c r="E86" s="733"/>
      <c r="F86" s="733"/>
      <c r="G86" s="733"/>
      <c r="H86" s="733"/>
      <c r="I86" s="44">
        <f t="shared" si="1"/>
        <v>0</v>
      </c>
      <c r="J86" s="124" t="str">
        <f t="shared" si="2"/>
        <v/>
      </c>
      <c r="K86" s="735"/>
    </row>
    <row r="87" spans="1:11" ht="12.75" customHeight="1" x14ac:dyDescent="0.25">
      <c r="A87" s="574" t="s">
        <v>1277</v>
      </c>
      <c r="B87" s="169"/>
      <c r="C87" s="748"/>
      <c r="D87" s="753"/>
      <c r="E87" s="733"/>
      <c r="F87" s="733">
        <v>492199</v>
      </c>
      <c r="G87" s="733">
        <v>492199</v>
      </c>
      <c r="H87" s="733"/>
      <c r="I87" s="44">
        <f t="shared" si="1"/>
        <v>-492199</v>
      </c>
      <c r="J87" s="124" t="e">
        <f t="shared" si="2"/>
        <v>#DIV/0!</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c r="E89" s="733"/>
      <c r="F89" s="733"/>
      <c r="G89" s="733"/>
      <c r="H89" s="733"/>
      <c r="I89" s="44">
        <f t="shared" si="1"/>
        <v>0</v>
      </c>
      <c r="J89" s="124" t="str">
        <f t="shared" si="2"/>
        <v/>
      </c>
      <c r="K89" s="735"/>
    </row>
    <row r="90" spans="1:11" ht="12.75" customHeight="1" x14ac:dyDescent="0.25">
      <c r="A90" s="574" t="s">
        <v>1279</v>
      </c>
      <c r="B90" s="169"/>
      <c r="C90" s="748"/>
      <c r="D90" s="753"/>
      <c r="E90" s="733"/>
      <c r="F90" s="733"/>
      <c r="G90" s="733"/>
      <c r="H90" s="733"/>
      <c r="I90" s="44">
        <f t="shared" si="1"/>
        <v>0</v>
      </c>
      <c r="J90" s="124" t="str">
        <f t="shared" si="2"/>
        <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c r="E93" s="733"/>
      <c r="F93" s="733"/>
      <c r="G93" s="733"/>
      <c r="H93" s="733"/>
      <c r="I93" s="44">
        <f t="shared" si="1"/>
        <v>0</v>
      </c>
      <c r="J93" s="124" t="str">
        <f t="shared" si="2"/>
        <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4">SUM(C100:C102)</f>
        <v>0</v>
      </c>
      <c r="D99" s="649">
        <f t="shared" si="14"/>
        <v>0</v>
      </c>
      <c r="E99" s="408">
        <f t="shared" si="14"/>
        <v>0</v>
      </c>
      <c r="F99" s="408">
        <f t="shared" si="14"/>
        <v>0</v>
      </c>
      <c r="G99" s="408">
        <f t="shared" si="14"/>
        <v>0</v>
      </c>
      <c r="H99" s="408">
        <f t="shared" si="14"/>
        <v>0</v>
      </c>
      <c r="I99" s="258">
        <f t="shared" si="1"/>
        <v>0</v>
      </c>
      <c r="J99" s="575" t="str">
        <f t="shared" si="2"/>
        <v/>
      </c>
      <c r="K99" s="642">
        <f>SUM(K100:K102)</f>
        <v>0</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c r="F101" s="733"/>
      <c r="G101" s="733"/>
      <c r="H101" s="733"/>
      <c r="I101" s="44">
        <f>H101-G101</f>
        <v>0</v>
      </c>
      <c r="J101" s="124" t="str">
        <f>IF(I101=0,"",I101/H101)</f>
        <v/>
      </c>
      <c r="K101" s="735"/>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5">SUM(C104:C108)</f>
        <v>0</v>
      </c>
      <c r="D103" s="264">
        <f t="shared" si="15"/>
        <v>4066785.1172906831</v>
      </c>
      <c r="E103" s="99">
        <f t="shared" si="15"/>
        <v>4066785.1172906831</v>
      </c>
      <c r="F103" s="99">
        <f t="shared" si="15"/>
        <v>0</v>
      </c>
      <c r="G103" s="99">
        <f t="shared" si="15"/>
        <v>-1082623.3999999999</v>
      </c>
      <c r="H103" s="99">
        <f t="shared" si="15"/>
        <v>2033392.5586453415</v>
      </c>
      <c r="I103" s="99">
        <f t="shared" si="1"/>
        <v>3116015.9586453415</v>
      </c>
      <c r="J103" s="324">
        <f t="shared" si="2"/>
        <v>1.5324222297347494</v>
      </c>
      <c r="K103" s="195">
        <f>SUM(K104:K108)</f>
        <v>4066785.1172906831</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v>4066785.1172906831</v>
      </c>
      <c r="E108" s="733">
        <v>4066785.1172906831</v>
      </c>
      <c r="F108" s="733"/>
      <c r="G108" s="733">
        <v>-1082623.3999999999</v>
      </c>
      <c r="H108" s="733">
        <f>E108/12*6</f>
        <v>2033392.5586453415</v>
      </c>
      <c r="I108" s="44">
        <f t="shared" si="1"/>
        <v>3116015.9586453415</v>
      </c>
      <c r="J108" s="124">
        <f t="shared" si="2"/>
        <v>1.5324222297347494</v>
      </c>
      <c r="K108" s="735">
        <f>E108</f>
        <v>4066785.1172906831</v>
      </c>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6">+C111+C114</f>
        <v>0</v>
      </c>
      <c r="D110" s="577">
        <f t="shared" si="16"/>
        <v>0</v>
      </c>
      <c r="E110" s="578">
        <f t="shared" si="16"/>
        <v>0</v>
      </c>
      <c r="F110" s="578">
        <f t="shared" si="16"/>
        <v>0</v>
      </c>
      <c r="G110" s="578">
        <f t="shared" si="16"/>
        <v>0</v>
      </c>
      <c r="H110" s="578">
        <f t="shared" si="16"/>
        <v>0</v>
      </c>
      <c r="I110" s="99">
        <f t="shared" si="1"/>
        <v>0</v>
      </c>
      <c r="J110" s="324" t="str">
        <f t="shared" si="2"/>
        <v/>
      </c>
      <c r="K110" s="580">
        <f>+K111+K114</f>
        <v>0</v>
      </c>
    </row>
    <row r="111" spans="1:11" ht="12.75" customHeight="1" x14ac:dyDescent="0.25">
      <c r="A111" s="518" t="s">
        <v>1294</v>
      </c>
      <c r="B111" s="169"/>
      <c r="C111" s="648">
        <f t="shared" ref="C111:H111" si="17">SUM(C112:C113)</f>
        <v>0</v>
      </c>
      <c r="D111" s="649">
        <f t="shared" si="17"/>
        <v>0</v>
      </c>
      <c r="E111" s="408">
        <f t="shared" si="17"/>
        <v>0</v>
      </c>
      <c r="F111" s="408">
        <f t="shared" si="17"/>
        <v>0</v>
      </c>
      <c r="G111" s="408">
        <f t="shared" si="17"/>
        <v>0</v>
      </c>
      <c r="H111" s="408">
        <f t="shared" si="17"/>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18">SUM(C115:C116)</f>
        <v>0</v>
      </c>
      <c r="D114" s="649">
        <f t="shared" si="18"/>
        <v>0</v>
      </c>
      <c r="E114" s="408">
        <f t="shared" si="18"/>
        <v>0</v>
      </c>
      <c r="F114" s="408">
        <f t="shared" si="18"/>
        <v>0</v>
      </c>
      <c r="G114" s="408">
        <f t="shared" si="18"/>
        <v>0</v>
      </c>
      <c r="H114" s="408">
        <f t="shared" si="18"/>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19">+C118+C130</f>
        <v>0</v>
      </c>
      <c r="D117" s="577">
        <f t="shared" si="19"/>
        <v>0</v>
      </c>
      <c r="E117" s="578">
        <f t="shared" si="19"/>
        <v>0</v>
      </c>
      <c r="F117" s="578">
        <f t="shared" si="19"/>
        <v>0</v>
      </c>
      <c r="G117" s="578">
        <f t="shared" si="19"/>
        <v>0</v>
      </c>
      <c r="H117" s="578">
        <f t="shared" si="19"/>
        <v>0</v>
      </c>
      <c r="I117" s="578">
        <f t="shared" si="1"/>
        <v>0</v>
      </c>
      <c r="J117" s="579" t="str">
        <f t="shared" si="2"/>
        <v/>
      </c>
      <c r="K117" s="580">
        <f>+K118+K130</f>
        <v>0</v>
      </c>
    </row>
    <row r="118" spans="1:11" ht="12.75" customHeight="1" x14ac:dyDescent="0.25">
      <c r="A118" s="518" t="s">
        <v>1298</v>
      </c>
      <c r="B118" s="169"/>
      <c r="C118" s="648">
        <f t="shared" ref="C118:H118" si="20">SUM(C119:C129)</f>
        <v>0</v>
      </c>
      <c r="D118" s="649">
        <f t="shared" si="20"/>
        <v>0</v>
      </c>
      <c r="E118" s="408">
        <f t="shared" si="20"/>
        <v>0</v>
      </c>
      <c r="F118" s="408">
        <f t="shared" si="20"/>
        <v>0</v>
      </c>
      <c r="G118" s="408">
        <f t="shared" si="20"/>
        <v>0</v>
      </c>
      <c r="H118" s="408">
        <f t="shared" si="20"/>
        <v>0</v>
      </c>
      <c r="I118" s="258">
        <f t="shared" si="1"/>
        <v>0</v>
      </c>
      <c r="J118" s="575" t="str">
        <f t="shared" si="2"/>
        <v/>
      </c>
      <c r="K118" s="642">
        <f>SUM(K119:K129)</f>
        <v>0</v>
      </c>
    </row>
    <row r="119" spans="1:11" ht="12.75" customHeight="1" x14ac:dyDescent="0.25">
      <c r="A119" s="574" t="s">
        <v>1299</v>
      </c>
      <c r="B119" s="169"/>
      <c r="C119" s="748"/>
      <c r="D119" s="753"/>
      <c r="E119" s="733"/>
      <c r="F119" s="733"/>
      <c r="G119" s="733"/>
      <c r="H119" s="733"/>
      <c r="I119" s="44">
        <f t="shared" si="1"/>
        <v>0</v>
      </c>
      <c r="J119" s="124" t="str">
        <f t="shared" si="2"/>
        <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1">SUM(C131:C133)</f>
        <v>0</v>
      </c>
      <c r="D130" s="649">
        <f t="shared" si="21"/>
        <v>0</v>
      </c>
      <c r="E130" s="408">
        <f t="shared" si="21"/>
        <v>0</v>
      </c>
      <c r="F130" s="408">
        <f t="shared" si="21"/>
        <v>0</v>
      </c>
      <c r="G130" s="408">
        <f t="shared" si="21"/>
        <v>0</v>
      </c>
      <c r="H130" s="408">
        <f t="shared" si="21"/>
        <v>0</v>
      </c>
      <c r="I130" s="258">
        <f t="shared" si="1"/>
        <v>0</v>
      </c>
      <c r="J130" s="575" t="str">
        <f t="shared" si="2"/>
        <v/>
      </c>
      <c r="K130" s="642">
        <f>SUM(K131:K133)</f>
        <v>0</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2">SUM(C136:C136)</f>
        <v>0</v>
      </c>
      <c r="D135" s="577">
        <f t="shared" si="22"/>
        <v>0</v>
      </c>
      <c r="E135" s="578">
        <f t="shared" si="22"/>
        <v>0</v>
      </c>
      <c r="F135" s="578">
        <f t="shared" si="22"/>
        <v>0</v>
      </c>
      <c r="G135" s="578">
        <f t="shared" si="22"/>
        <v>0</v>
      </c>
      <c r="H135" s="578">
        <f t="shared" si="22"/>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3">IF(I137=0,"",I137/H137)</f>
        <v/>
      </c>
      <c r="K137" s="144"/>
    </row>
    <row r="138" spans="1:11" s="100" customFormat="1" ht="12.75" customHeight="1" x14ac:dyDescent="0.25">
      <c r="A138" s="549" t="s">
        <v>1312</v>
      </c>
      <c r="B138" s="171"/>
      <c r="C138" s="940">
        <f t="shared" ref="C138:H138" si="24">SUM(C139:C140)</f>
        <v>0</v>
      </c>
      <c r="D138" s="941">
        <f t="shared" si="24"/>
        <v>0</v>
      </c>
      <c r="E138" s="942">
        <f t="shared" si="24"/>
        <v>0</v>
      </c>
      <c r="F138" s="942">
        <f t="shared" si="24"/>
        <v>0</v>
      </c>
      <c r="G138" s="942">
        <f t="shared" si="24"/>
        <v>97000</v>
      </c>
      <c r="H138" s="942">
        <f t="shared" si="24"/>
        <v>0</v>
      </c>
      <c r="I138" s="942">
        <f t="shared" ref="I138:I146" si="25">H138-G138</f>
        <v>-97000</v>
      </c>
      <c r="J138" s="324" t="e">
        <f t="shared" si="23"/>
        <v>#DIV/0!</v>
      </c>
      <c r="K138" s="943">
        <f>SUM(K139:K140)</f>
        <v>0</v>
      </c>
    </row>
    <row r="139" spans="1:11" ht="12.75" customHeight="1" x14ac:dyDescent="0.25">
      <c r="A139" s="517" t="s">
        <v>1313</v>
      </c>
      <c r="B139" s="169"/>
      <c r="C139" s="748"/>
      <c r="D139" s="753"/>
      <c r="E139" s="733"/>
      <c r="F139" s="733"/>
      <c r="G139" s="733"/>
      <c r="H139" s="733"/>
      <c r="I139" s="44">
        <f t="shared" si="25"/>
        <v>0</v>
      </c>
      <c r="J139" s="124" t="str">
        <f t="shared" si="23"/>
        <v/>
      </c>
      <c r="K139" s="735"/>
    </row>
    <row r="140" spans="1:11" ht="12.75" customHeight="1" x14ac:dyDescent="0.25">
      <c r="A140" s="517" t="s">
        <v>1314</v>
      </c>
      <c r="B140" s="169"/>
      <c r="C140" s="648">
        <f t="shared" ref="C140:H140" si="26">SUM(C141:C146)</f>
        <v>0</v>
      </c>
      <c r="D140" s="649">
        <f t="shared" si="26"/>
        <v>0</v>
      </c>
      <c r="E140" s="408">
        <f t="shared" si="26"/>
        <v>0</v>
      </c>
      <c r="F140" s="408">
        <f t="shared" si="26"/>
        <v>0</v>
      </c>
      <c r="G140" s="408">
        <f t="shared" si="26"/>
        <v>97000</v>
      </c>
      <c r="H140" s="408">
        <f t="shared" si="26"/>
        <v>0</v>
      </c>
      <c r="I140" s="258">
        <f t="shared" si="25"/>
        <v>-97000</v>
      </c>
      <c r="J140" s="575" t="e">
        <f t="shared" si="23"/>
        <v>#DIV/0!</v>
      </c>
      <c r="K140" s="642">
        <f>SUM(K141:K146)</f>
        <v>0</v>
      </c>
    </row>
    <row r="141" spans="1:11" ht="12.75" customHeight="1" x14ac:dyDescent="0.25">
      <c r="A141" s="574" t="s">
        <v>1315</v>
      </c>
      <c r="B141" s="169"/>
      <c r="C141" s="748"/>
      <c r="D141" s="753"/>
      <c r="E141" s="733"/>
      <c r="F141" s="733"/>
      <c r="G141" s="733"/>
      <c r="H141" s="733"/>
      <c r="I141" s="44">
        <f t="shared" si="25"/>
        <v>0</v>
      </c>
      <c r="J141" s="124" t="str">
        <f t="shared" si="23"/>
        <v/>
      </c>
      <c r="K141" s="735"/>
    </row>
    <row r="142" spans="1:11" ht="12.75" customHeight="1" x14ac:dyDescent="0.25">
      <c r="A142" s="574" t="s">
        <v>1316</v>
      </c>
      <c r="B142" s="169"/>
      <c r="C142" s="748"/>
      <c r="D142" s="753"/>
      <c r="E142" s="733"/>
      <c r="F142" s="733"/>
      <c r="G142" s="733"/>
      <c r="H142" s="733"/>
      <c r="I142" s="44">
        <f t="shared" si="25"/>
        <v>0</v>
      </c>
      <c r="J142" s="124" t="str">
        <f t="shared" si="23"/>
        <v/>
      </c>
      <c r="K142" s="735"/>
    </row>
    <row r="143" spans="1:11" ht="12.75" customHeight="1" x14ac:dyDescent="0.25">
      <c r="A143" s="574" t="s">
        <v>1317</v>
      </c>
      <c r="B143" s="169"/>
      <c r="C143" s="748"/>
      <c r="D143" s="753"/>
      <c r="E143" s="733"/>
      <c r="F143" s="733"/>
      <c r="G143" s="733"/>
      <c r="H143" s="733"/>
      <c r="I143" s="44">
        <f t="shared" si="25"/>
        <v>0</v>
      </c>
      <c r="J143" s="124" t="str">
        <f t="shared" si="23"/>
        <v/>
      </c>
      <c r="K143" s="735"/>
    </row>
    <row r="144" spans="1:11" ht="12.75" customHeight="1" x14ac:dyDescent="0.25">
      <c r="A144" s="574" t="s">
        <v>1318</v>
      </c>
      <c r="B144" s="169"/>
      <c r="C144" s="748"/>
      <c r="D144" s="753"/>
      <c r="E144" s="733"/>
      <c r="F144" s="733"/>
      <c r="G144" s="733">
        <v>97000</v>
      </c>
      <c r="H144" s="733"/>
      <c r="I144" s="44">
        <f t="shared" si="25"/>
        <v>-97000</v>
      </c>
      <c r="J144" s="124" t="e">
        <f t="shared" si="23"/>
        <v>#DIV/0!</v>
      </c>
      <c r="K144" s="735"/>
    </row>
    <row r="145" spans="1:12" ht="12.75" customHeight="1" x14ac:dyDescent="0.25">
      <c r="A145" s="574" t="s">
        <v>1319</v>
      </c>
      <c r="B145" s="169"/>
      <c r="C145" s="748"/>
      <c r="D145" s="753"/>
      <c r="E145" s="733"/>
      <c r="F145" s="733"/>
      <c r="G145" s="733"/>
      <c r="H145" s="733"/>
      <c r="I145" s="44">
        <f t="shared" si="25"/>
        <v>0</v>
      </c>
      <c r="J145" s="124" t="str">
        <f t="shared" si="23"/>
        <v/>
      </c>
      <c r="K145" s="735"/>
    </row>
    <row r="146" spans="1:12" ht="12.75" customHeight="1" x14ac:dyDescent="0.25">
      <c r="A146" s="574" t="s">
        <v>1320</v>
      </c>
      <c r="B146" s="169"/>
      <c r="C146" s="748"/>
      <c r="D146" s="753"/>
      <c r="E146" s="733"/>
      <c r="F146" s="733"/>
      <c r="G146" s="733"/>
      <c r="H146" s="733"/>
      <c r="I146" s="44">
        <f t="shared" si="25"/>
        <v>0</v>
      </c>
      <c r="J146" s="124" t="str">
        <f t="shared" si="23"/>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7">SUM(C149:C149)</f>
        <v>0</v>
      </c>
      <c r="D148" s="577">
        <f t="shared" si="27"/>
        <v>172522.43577434224</v>
      </c>
      <c r="E148" s="578">
        <f t="shared" si="27"/>
        <v>172522.43577434224</v>
      </c>
      <c r="F148" s="578">
        <f t="shared" si="27"/>
        <v>0</v>
      </c>
      <c r="G148" s="578">
        <f t="shared" si="27"/>
        <v>0</v>
      </c>
      <c r="H148" s="578">
        <f t="shared" si="27"/>
        <v>86261.217887171122</v>
      </c>
      <c r="I148" s="578">
        <f>H148-G148</f>
        <v>86261.217887171122</v>
      </c>
      <c r="J148" s="324">
        <f>IF(I148=0,"",I148/H148)</f>
        <v>1</v>
      </c>
      <c r="K148" s="580">
        <f>SUM(K149)</f>
        <v>172522.43577434224</v>
      </c>
    </row>
    <row r="149" spans="1:12" ht="12.75" customHeight="1" x14ac:dyDescent="0.25">
      <c r="A149" s="518" t="s">
        <v>1321</v>
      </c>
      <c r="B149" s="169"/>
      <c r="C149" s="748"/>
      <c r="D149" s="753">
        <v>172522.43577434224</v>
      </c>
      <c r="E149" s="733">
        <v>172522.43577434224</v>
      </c>
      <c r="F149" s="733"/>
      <c r="G149" s="733"/>
      <c r="H149" s="733">
        <f>E149/12*6</f>
        <v>86261.217887171122</v>
      </c>
      <c r="I149" s="44">
        <f>H149-G149</f>
        <v>86261.217887171122</v>
      </c>
      <c r="J149" s="124">
        <f>IF(I149=0,"",I149/H149)</f>
        <v>1</v>
      </c>
      <c r="K149" s="735">
        <f>E149</f>
        <v>172522.43577434224</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28">SUM(C152:C152)</f>
        <v>0</v>
      </c>
      <c r="D151" s="577">
        <f t="shared" si="28"/>
        <v>28753.73929572371</v>
      </c>
      <c r="E151" s="578">
        <f t="shared" si="28"/>
        <v>28753.73929572371</v>
      </c>
      <c r="F151" s="578">
        <f t="shared" si="28"/>
        <v>0</v>
      </c>
      <c r="G151" s="578">
        <f t="shared" si="28"/>
        <v>0</v>
      </c>
      <c r="H151" s="578">
        <f t="shared" si="28"/>
        <v>14376.869647861855</v>
      </c>
      <c r="I151" s="578">
        <f>H151-G151</f>
        <v>14376.869647861855</v>
      </c>
      <c r="J151" s="324">
        <f>IF(I151=0,"",I151/H151)</f>
        <v>1</v>
      </c>
      <c r="K151" s="580">
        <f>SUM(K152)</f>
        <v>28753.73929572371</v>
      </c>
    </row>
    <row r="152" spans="1:12" ht="12.75" customHeight="1" x14ac:dyDescent="0.25">
      <c r="A152" s="518" t="s">
        <v>1322</v>
      </c>
      <c r="B152" s="169"/>
      <c r="C152" s="748"/>
      <c r="D152" s="753">
        <v>28753.73929572371</v>
      </c>
      <c r="E152" s="733">
        <v>28753.73929572371</v>
      </c>
      <c r="F152" s="733"/>
      <c r="G152" s="733"/>
      <c r="H152" s="733">
        <f>E152/12*6</f>
        <v>14376.869647861855</v>
      </c>
      <c r="I152" s="44">
        <f>H152-G152</f>
        <v>14376.869647861855</v>
      </c>
      <c r="J152" s="124">
        <f>IF(I152=0,"",I152/H152)</f>
        <v>1</v>
      </c>
      <c r="K152" s="735">
        <f>E152</f>
        <v>28753.73929572371</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29">SUM(C155:C155)</f>
        <v>0</v>
      </c>
      <c r="D154" s="577">
        <f t="shared" si="29"/>
        <v>0</v>
      </c>
      <c r="E154" s="578">
        <f t="shared" si="29"/>
        <v>0</v>
      </c>
      <c r="F154" s="578">
        <f t="shared" si="29"/>
        <v>0</v>
      </c>
      <c r="G154" s="578">
        <f t="shared" si="29"/>
        <v>0</v>
      </c>
      <c r="H154" s="578">
        <f t="shared" si="29"/>
        <v>0</v>
      </c>
      <c r="I154" s="578">
        <f>H154-G154</f>
        <v>0</v>
      </c>
      <c r="J154" s="324" t="str">
        <f>IF(I154=0,"",I154/H154)</f>
        <v/>
      </c>
      <c r="K154" s="580">
        <f>SUM(K155)</f>
        <v>0</v>
      </c>
    </row>
    <row r="155" spans="1:12" ht="12.75" customHeight="1" x14ac:dyDescent="0.25">
      <c r="A155" s="518" t="s">
        <v>1323</v>
      </c>
      <c r="B155" s="169"/>
      <c r="C155" s="748"/>
      <c r="D155" s="753"/>
      <c r="E155" s="733"/>
      <c r="F155" s="733"/>
      <c r="G155" s="733"/>
      <c r="H155" s="733"/>
      <c r="I155" s="44">
        <f>H155-G155</f>
        <v>0</v>
      </c>
      <c r="J155" s="124" t="str">
        <f>IF(I155=0,"",I155/H155)</f>
        <v/>
      </c>
      <c r="K155" s="735"/>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0">SUM(C158:C158)</f>
        <v>0</v>
      </c>
      <c r="D157" s="577">
        <f t="shared" si="30"/>
        <v>48149976.690004274</v>
      </c>
      <c r="E157" s="578">
        <f t="shared" si="30"/>
        <v>48149976.690004274</v>
      </c>
      <c r="F157" s="578">
        <f t="shared" si="30"/>
        <v>0</v>
      </c>
      <c r="G157" s="578">
        <f t="shared" si="30"/>
        <v>736833.28</v>
      </c>
      <c r="H157" s="578">
        <f t="shared" si="30"/>
        <v>24074988.345002137</v>
      </c>
      <c r="I157" s="578">
        <f>H157-G157</f>
        <v>23338155.065002136</v>
      </c>
      <c r="J157" s="324">
        <f>IF(I157=0,"",I157/H157)</f>
        <v>0.96939424146583375</v>
      </c>
      <c r="K157" s="580">
        <f>SUM(K158)</f>
        <v>48149976.690004274</v>
      </c>
    </row>
    <row r="158" spans="1:12" ht="12.75" customHeight="1" x14ac:dyDescent="0.25">
      <c r="A158" s="518" t="s">
        <v>1324</v>
      </c>
      <c r="B158" s="169"/>
      <c r="C158" s="748"/>
      <c r="D158" s="753">
        <v>48149976.690004274</v>
      </c>
      <c r="E158" s="733">
        <v>48149976.690004274</v>
      </c>
      <c r="F158" s="733"/>
      <c r="G158" s="733">
        <v>736833.28</v>
      </c>
      <c r="H158" s="733">
        <f>E158/12*6</f>
        <v>24074988.345002137</v>
      </c>
      <c r="I158" s="44">
        <f>H158-G158</f>
        <v>23338155.065002136</v>
      </c>
      <c r="J158" s="124">
        <f>IF(I158=0,"",I158/H158)</f>
        <v>0.96939424146583375</v>
      </c>
      <c r="K158" s="735">
        <f>E158</f>
        <v>48149976.690004274</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1">SUM(C161:C161)</f>
        <v>0</v>
      </c>
      <c r="D160" s="577">
        <f t="shared" si="31"/>
        <v>0</v>
      </c>
      <c r="E160" s="578">
        <f t="shared" si="31"/>
        <v>0</v>
      </c>
      <c r="F160" s="578">
        <f t="shared" si="31"/>
        <v>0</v>
      </c>
      <c r="G160" s="578">
        <f t="shared" si="31"/>
        <v>0</v>
      </c>
      <c r="H160" s="578">
        <f t="shared" si="31"/>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t="s">
        <v>1326</v>
      </c>
      <c r="K162" s="144"/>
    </row>
    <row r="163" spans="1:11" ht="12.75" customHeight="1" x14ac:dyDescent="0.25">
      <c r="A163" s="549" t="s">
        <v>1325</v>
      </c>
      <c r="B163" s="169"/>
      <c r="C163" s="576">
        <f t="shared" ref="C163:H163" si="32">SUM(C164:C164)</f>
        <v>0</v>
      </c>
      <c r="D163" s="577">
        <f t="shared" si="32"/>
        <v>0</v>
      </c>
      <c r="E163" s="578">
        <f t="shared" si="32"/>
        <v>0</v>
      </c>
      <c r="F163" s="578">
        <f t="shared" si="32"/>
        <v>0</v>
      </c>
      <c r="G163" s="578">
        <f t="shared" si="32"/>
        <v>0</v>
      </c>
      <c r="H163" s="578">
        <f t="shared" si="32"/>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1328</v>
      </c>
      <c r="B166" s="236">
        <v>1</v>
      </c>
      <c r="C166" s="112">
        <f t="shared" ref="C166:H166" si="33">C7+C75+C103+C110+C117+C135+C138+C148+C151+C154+C157+C160+C163</f>
        <v>0</v>
      </c>
      <c r="D166" s="271">
        <f t="shared" si="33"/>
        <v>109450000</v>
      </c>
      <c r="E166" s="55">
        <f t="shared" si="33"/>
        <v>119450000</v>
      </c>
      <c r="F166" s="55">
        <f t="shared" si="33"/>
        <v>58137743.509999998</v>
      </c>
      <c r="G166" s="55">
        <f t="shared" si="33"/>
        <v>171757967.19</v>
      </c>
      <c r="H166" s="55">
        <f t="shared" si="33"/>
        <v>59725000</v>
      </c>
      <c r="I166" s="55">
        <f>H166-G166</f>
        <v>-112032967.19</v>
      </c>
      <c r="J166" s="290">
        <f>IF(I166=0,"",I166/H166)</f>
        <v>-1.8758135988279614</v>
      </c>
      <c r="K166" s="235">
        <f>K7+K75+K103+K110+K117+K135+K138+K148+K151+K154+K157+K160+K163</f>
        <v>119450000</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1329</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C166+SC13a!C166+SC13b!C166-'C5-Capex'!C40</f>
        <v>0</v>
      </c>
      <c r="D171" s="135">
        <f>D166+SC13a!D166+SC13b!D166-'C5-Capex'!D40</f>
        <v>0</v>
      </c>
      <c r="E171" s="135">
        <f>E166+SC13a!E166+SC13b!E166-'C5-Capex'!E40</f>
        <v>0</v>
      </c>
      <c r="F171" s="135">
        <f>F166+SC13a!F166+SC13b!F166-'C5-Capex'!F40</f>
        <v>0</v>
      </c>
      <c r="G171" s="135">
        <f>G166+SC13a!G166+SC13b!G166-'C5-Capex'!G40</f>
        <v>0</v>
      </c>
      <c r="H171" s="135">
        <f>H166+SC13a!H166+SC13b!H166-'C5-Capex'!H40</f>
        <v>0</v>
      </c>
      <c r="I171" s="135"/>
      <c r="J171" s="135"/>
      <c r="K171" s="135">
        <f>K166+SC13a!K166+SC13b!K166-'C5-Capex'!K40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tabColor indexed="52"/>
  </sheetPr>
  <dimension ref="A1:K106"/>
  <sheetViews>
    <sheetView topLeftCell="A85" workbookViewId="0">
      <selection activeCell="G118" sqref="G118"/>
    </sheetView>
  </sheetViews>
  <sheetFormatPr defaultColWidth="9.140625" defaultRowHeight="12.75" x14ac:dyDescent="0.25"/>
  <cols>
    <col min="1" max="1" width="10.7109375" style="25" customWidth="1"/>
    <col min="2" max="16384" width="9.140625" style="25"/>
  </cols>
  <sheetData>
    <row r="1" spans="1:11" ht="13.5" x14ac:dyDescent="0.25">
      <c r="A1" s="365" t="str">
        <f>'Template names'!B102</f>
        <v>Chart C1 2020/21 Capital Expenditure Monthly Trend: actual v target</v>
      </c>
      <c r="B1" s="336"/>
      <c r="C1" s="336"/>
      <c r="D1" s="336"/>
      <c r="E1" s="339"/>
      <c r="F1" s="67"/>
      <c r="G1" s="67"/>
      <c r="H1" s="67"/>
      <c r="I1" s="67"/>
    </row>
    <row r="2" spans="1:11" x14ac:dyDescent="0.25">
      <c r="A2" s="313" t="s">
        <v>887</v>
      </c>
      <c r="B2" s="358" t="str">
        <f>'SC12'!B2</f>
        <v>2019/20</v>
      </c>
      <c r="C2" s="358" t="str">
        <f>'SC12'!C3</f>
        <v>Original Budget</v>
      </c>
      <c r="D2" s="358" t="str">
        <f>'SC12'!D3</f>
        <v>Adjusted Budget</v>
      </c>
      <c r="E2" s="359" t="str">
        <f>'SC12'!E3</f>
        <v>Monthly actual</v>
      </c>
      <c r="F2" s="61"/>
      <c r="G2" s="61"/>
      <c r="H2" s="61"/>
      <c r="I2" s="61"/>
    </row>
    <row r="3" spans="1:11" x14ac:dyDescent="0.25">
      <c r="A3" s="42" t="str">
        <f>LEFT('SC12'!A6,3)</f>
        <v>Jul</v>
      </c>
      <c r="B3" s="43">
        <f>'SC12'!B6</f>
        <v>66093583.333333336</v>
      </c>
      <c r="C3" s="43">
        <f>'SC12'!C6</f>
        <v>48407631.75</v>
      </c>
      <c r="D3" s="43">
        <f>'SC12'!D6</f>
        <v>0</v>
      </c>
      <c r="E3" s="45">
        <f>'SC12'!E6</f>
        <v>936648.53999999957</v>
      </c>
      <c r="F3" s="43"/>
      <c r="G3" s="43"/>
      <c r="H3" s="43"/>
      <c r="I3" s="43"/>
      <c r="J3" s="43"/>
      <c r="K3" s="43"/>
    </row>
    <row r="4" spans="1:11" x14ac:dyDescent="0.25">
      <c r="A4" s="42" t="str">
        <f>LEFT('SC12'!A7,3)</f>
        <v>Aug</v>
      </c>
      <c r="B4" s="43">
        <f>'SC12'!B7</f>
        <v>66093583.333333336</v>
      </c>
      <c r="C4" s="43">
        <f>'SC12'!C7</f>
        <v>48407631.75</v>
      </c>
      <c r="D4" s="43">
        <f>'SC12'!D7</f>
        <v>0</v>
      </c>
      <c r="E4" s="45">
        <f>'SC12'!E7</f>
        <v>28293360.050000001</v>
      </c>
      <c r="F4" s="43"/>
      <c r="G4" s="43"/>
      <c r="H4" s="43"/>
      <c r="I4" s="43"/>
      <c r="J4" s="43"/>
      <c r="K4" s="43"/>
    </row>
    <row r="5" spans="1:11" x14ac:dyDescent="0.25">
      <c r="A5" s="42" t="str">
        <f>LEFT('SC12'!A8,3)</f>
        <v>Sep</v>
      </c>
      <c r="B5" s="43">
        <f>'SC12'!B8</f>
        <v>66093583.333333336</v>
      </c>
      <c r="C5" s="43">
        <f>'SC12'!C8</f>
        <v>48407631.75</v>
      </c>
      <c r="D5" s="43">
        <f>'SC12'!D8</f>
        <v>0</v>
      </c>
      <c r="E5" s="45">
        <f>'SC12'!E8</f>
        <v>51276404.180000007</v>
      </c>
      <c r="F5" s="43"/>
      <c r="G5" s="43"/>
      <c r="H5" s="43"/>
      <c r="I5" s="43"/>
      <c r="J5" s="43"/>
      <c r="K5" s="43"/>
    </row>
    <row r="6" spans="1:11" x14ac:dyDescent="0.25">
      <c r="A6" s="42" t="str">
        <f>LEFT('SC12'!A9,3)</f>
        <v>Oct</v>
      </c>
      <c r="B6" s="43">
        <f>'SC12'!B9</f>
        <v>66093583.333333336</v>
      </c>
      <c r="C6" s="43">
        <f>'SC12'!C9</f>
        <v>48407631.75</v>
      </c>
      <c r="D6" s="43">
        <f>'SC12'!D9</f>
        <v>0</v>
      </c>
      <c r="E6" s="45">
        <f>'SC12'!E9</f>
        <v>34751661.439999998</v>
      </c>
      <c r="F6" s="43"/>
      <c r="G6" s="43"/>
      <c r="H6" s="43"/>
      <c r="I6" s="43"/>
      <c r="J6" s="43"/>
      <c r="K6" s="43"/>
    </row>
    <row r="7" spans="1:11" x14ac:dyDescent="0.25">
      <c r="A7" s="42" t="str">
        <f>LEFT('SC12'!A10,3)</f>
        <v>Nov</v>
      </c>
      <c r="B7" s="43">
        <f>'SC12'!B10</f>
        <v>66093583.333333336</v>
      </c>
      <c r="C7" s="43">
        <f>'SC12'!C10</f>
        <v>48407631.75</v>
      </c>
      <c r="D7" s="43">
        <f>'SC12'!D10</f>
        <v>0</v>
      </c>
      <c r="E7" s="45">
        <f>'SC12'!E10</f>
        <v>64917006.57</v>
      </c>
      <c r="F7" s="43"/>
      <c r="G7" s="43"/>
      <c r="H7" s="43"/>
      <c r="I7" s="43"/>
      <c r="J7" s="43"/>
      <c r="K7" s="43"/>
    </row>
    <row r="8" spans="1:11" x14ac:dyDescent="0.25">
      <c r="A8" s="42" t="str">
        <f>LEFT('SC12'!A11,3)</f>
        <v>Dec</v>
      </c>
      <c r="B8" s="43">
        <f>'SC12'!B11</f>
        <v>66093583.333333336</v>
      </c>
      <c r="C8" s="43">
        <f>'SC12'!C11</f>
        <v>48407631.75</v>
      </c>
      <c r="D8" s="43">
        <f>'SC12'!D11</f>
        <v>0</v>
      </c>
      <c r="E8" s="45">
        <f>'SC12'!E11</f>
        <v>66591378.019999981</v>
      </c>
      <c r="F8" s="43"/>
      <c r="G8" s="43"/>
      <c r="H8" s="43"/>
      <c r="I8" s="43"/>
      <c r="J8" s="43"/>
      <c r="K8" s="43"/>
    </row>
    <row r="9" spans="1:11" x14ac:dyDescent="0.25">
      <c r="A9" s="42" t="str">
        <f>LEFT('SC12'!A12,3)</f>
        <v>Jan</v>
      </c>
      <c r="B9" s="43">
        <f>'SC12'!B12</f>
        <v>66093583.333333336</v>
      </c>
      <c r="C9" s="43">
        <f>'SC12'!C12</f>
        <v>48407631.75</v>
      </c>
      <c r="D9" s="43">
        <f>'SC12'!D12</f>
        <v>0</v>
      </c>
      <c r="E9" s="45">
        <f>'SC12'!E12</f>
        <v>0</v>
      </c>
      <c r="F9" s="43"/>
      <c r="G9" s="43"/>
      <c r="H9" s="43"/>
      <c r="I9" s="43"/>
      <c r="J9" s="43"/>
      <c r="K9" s="43"/>
    </row>
    <row r="10" spans="1:11" x14ac:dyDescent="0.25">
      <c r="A10" s="42" t="str">
        <f>LEFT('SC12'!A13,3)</f>
        <v>Feb</v>
      </c>
      <c r="B10" s="43">
        <f>'SC12'!B13</f>
        <v>66093583.333333336</v>
      </c>
      <c r="C10" s="43">
        <f>'SC12'!C13</f>
        <v>48407631.75</v>
      </c>
      <c r="D10" s="43">
        <f>'SC12'!D13</f>
        <v>0</v>
      </c>
      <c r="E10" s="45">
        <f>'SC12'!E13</f>
        <v>0</v>
      </c>
      <c r="F10" s="43"/>
      <c r="G10" s="43"/>
      <c r="H10" s="43"/>
      <c r="I10" s="43"/>
      <c r="J10" s="43"/>
      <c r="K10" s="43"/>
    </row>
    <row r="11" spans="1:11" x14ac:dyDescent="0.25">
      <c r="A11" s="42" t="str">
        <f>LEFT('SC12'!A14,3)</f>
        <v>Mar</v>
      </c>
      <c r="B11" s="43">
        <f>'SC12'!B14</f>
        <v>66093583.333333336</v>
      </c>
      <c r="C11" s="43">
        <f>'SC12'!C14</f>
        <v>48407631.75</v>
      </c>
      <c r="D11" s="43">
        <f>'SC12'!D14</f>
        <v>0</v>
      </c>
      <c r="E11" s="45">
        <f>'SC12'!E14</f>
        <v>0</v>
      </c>
      <c r="F11" s="43"/>
      <c r="G11" s="43"/>
      <c r="H11" s="43"/>
      <c r="I11" s="43"/>
      <c r="J11" s="43"/>
      <c r="K11" s="43"/>
    </row>
    <row r="12" spans="1:11" x14ac:dyDescent="0.25">
      <c r="A12" s="42" t="str">
        <f>LEFT('SC12'!A15,3)</f>
        <v>Apr</v>
      </c>
      <c r="B12" s="43">
        <f>'SC12'!B15</f>
        <v>66093583.333333336</v>
      </c>
      <c r="C12" s="43">
        <f>'SC12'!C15</f>
        <v>48407631.75</v>
      </c>
      <c r="D12" s="43">
        <f>'SC12'!D15</f>
        <v>0</v>
      </c>
      <c r="E12" s="45">
        <f>'SC12'!E15</f>
        <v>0</v>
      </c>
      <c r="F12" s="43"/>
      <c r="G12" s="43"/>
      <c r="H12" s="43"/>
      <c r="I12" s="43"/>
      <c r="J12" s="43"/>
      <c r="K12" s="43"/>
    </row>
    <row r="13" spans="1:11" x14ac:dyDescent="0.25">
      <c r="A13" s="42" t="str">
        <f>LEFT('SC12'!A16,3)</f>
        <v>May</v>
      </c>
      <c r="B13" s="43">
        <f>'SC12'!B16</f>
        <v>66093583.333333336</v>
      </c>
      <c r="C13" s="43">
        <f>'SC12'!C16</f>
        <v>48407631.75</v>
      </c>
      <c r="D13" s="43">
        <f>'SC12'!D16</f>
        <v>0</v>
      </c>
      <c r="E13" s="45">
        <f>'SC12'!E16</f>
        <v>0</v>
      </c>
      <c r="F13" s="43"/>
      <c r="G13" s="43"/>
      <c r="H13" s="43"/>
      <c r="I13" s="43"/>
      <c r="J13" s="43"/>
      <c r="K13" s="43"/>
    </row>
    <row r="14" spans="1:11" x14ac:dyDescent="0.25">
      <c r="A14" s="91" t="str">
        <f>LEFT('SC12'!A17,3)</f>
        <v>Jun</v>
      </c>
      <c r="B14" s="356">
        <f>'SC12'!B17</f>
        <v>66093583.333333336</v>
      </c>
      <c r="C14" s="356">
        <f>'SC12'!C17</f>
        <v>48407631.75</v>
      </c>
      <c r="D14" s="356">
        <f>'SC12'!D17</f>
        <v>0</v>
      </c>
      <c r="E14" s="357">
        <f>'SC12'!E17</f>
        <v>0</v>
      </c>
      <c r="F14" s="43"/>
      <c r="G14" s="43"/>
      <c r="H14" s="43"/>
      <c r="I14" s="43"/>
      <c r="J14" s="43"/>
      <c r="K14" s="43"/>
    </row>
    <row r="25" spans="1:10" x14ac:dyDescent="0.25">
      <c r="E25" s="67"/>
      <c r="F25" s="67"/>
      <c r="G25" s="67"/>
      <c r="H25" s="67"/>
      <c r="I25" s="67"/>
    </row>
    <row r="26" spans="1:10" ht="13.5" x14ac:dyDescent="0.25">
      <c r="A26" s="366" t="str">
        <f>'Template names'!B103</f>
        <v>Chart C2 2020/21 Capital Expenditure: YTD actual v YTD target</v>
      </c>
      <c r="B26" s="363"/>
      <c r="C26" s="363"/>
      <c r="D26" s="364"/>
      <c r="E26" s="61"/>
      <c r="F26" s="61"/>
      <c r="G26" s="61"/>
      <c r="H26" s="61"/>
      <c r="I26" s="61"/>
    </row>
    <row r="27" spans="1:10" x14ac:dyDescent="0.25">
      <c r="A27" s="313" t="s">
        <v>887</v>
      </c>
      <c r="B27" s="358" t="str">
        <f>'SC12'!F3</f>
        <v>YearTD actual</v>
      </c>
      <c r="C27" s="358" t="str">
        <f>'SC12'!G3</f>
        <v>YearTD budget</v>
      </c>
      <c r="D27" s="272"/>
      <c r="E27" s="61"/>
      <c r="F27" s="61"/>
      <c r="G27" s="61"/>
      <c r="H27" s="61"/>
      <c r="I27" s="61"/>
      <c r="J27" s="67"/>
    </row>
    <row r="28" spans="1:10" x14ac:dyDescent="0.25">
      <c r="A28" s="360" t="str">
        <f>LEFT('SC12'!A6,3)</f>
        <v>Jul</v>
      </c>
      <c r="B28" s="361">
        <f>'SC12'!F6</f>
        <v>936648.53999999957</v>
      </c>
      <c r="C28" s="362">
        <f>'SC12'!G6</f>
        <v>48407631.75</v>
      </c>
      <c r="D28" s="43"/>
      <c r="E28" s="43"/>
      <c r="F28" s="43"/>
      <c r="G28" s="43"/>
      <c r="H28" s="43"/>
      <c r="I28" s="43"/>
    </row>
    <row r="29" spans="1:10" x14ac:dyDescent="0.25">
      <c r="A29" s="42" t="str">
        <f>LEFT('SC12'!A7,3)</f>
        <v>Aug</v>
      </c>
      <c r="B29" s="43">
        <f>'SC12'!F7</f>
        <v>29230008.59</v>
      </c>
      <c r="C29" s="45">
        <f>'SC12'!G7</f>
        <v>96815263.5</v>
      </c>
      <c r="D29" s="43"/>
      <c r="E29" s="43"/>
      <c r="F29" s="43"/>
      <c r="G29" s="43"/>
      <c r="H29" s="43"/>
      <c r="I29" s="43"/>
    </row>
    <row r="30" spans="1:10" x14ac:dyDescent="0.25">
      <c r="A30" s="42" t="str">
        <f>LEFT('SC12'!A8,3)</f>
        <v>Sep</v>
      </c>
      <c r="B30" s="43">
        <f>'SC12'!F8</f>
        <v>80506412.770000011</v>
      </c>
      <c r="C30" s="45">
        <f>'SC12'!G8</f>
        <v>145222895.25</v>
      </c>
      <c r="D30" s="43"/>
      <c r="E30" s="43"/>
      <c r="F30" s="43"/>
      <c r="G30" s="43"/>
      <c r="H30" s="43"/>
      <c r="I30" s="43"/>
    </row>
    <row r="31" spans="1:10" x14ac:dyDescent="0.25">
      <c r="A31" s="42" t="str">
        <f>LEFT('SC12'!A9,3)</f>
        <v>Oct</v>
      </c>
      <c r="B31" s="43">
        <f>'SC12'!F9</f>
        <v>115258074.21000001</v>
      </c>
      <c r="C31" s="45">
        <f>'SC12'!G9</f>
        <v>193630527</v>
      </c>
      <c r="D31" s="43"/>
      <c r="E31" s="43"/>
      <c r="F31" s="43"/>
      <c r="G31" s="43"/>
      <c r="H31" s="43"/>
      <c r="I31" s="43"/>
    </row>
    <row r="32" spans="1:10" x14ac:dyDescent="0.25">
      <c r="A32" s="42" t="str">
        <f>LEFT('SC12'!A10,3)</f>
        <v>Nov</v>
      </c>
      <c r="B32" s="43">
        <f>'SC12'!F10</f>
        <v>180175080.78</v>
      </c>
      <c r="C32" s="45">
        <f>'SC12'!G10</f>
        <v>242038158.75</v>
      </c>
      <c r="D32" s="43"/>
      <c r="E32" s="43"/>
      <c r="F32" s="43"/>
      <c r="G32" s="43"/>
      <c r="H32" s="43"/>
      <c r="I32" s="43"/>
    </row>
    <row r="33" spans="1:9" x14ac:dyDescent="0.25">
      <c r="A33" s="42" t="str">
        <f>LEFT('SC12'!A11,3)</f>
        <v>Dec</v>
      </c>
      <c r="B33" s="43">
        <f>'SC12'!F11</f>
        <v>246766458.79999998</v>
      </c>
      <c r="C33" s="45">
        <f>'SC12'!G11</f>
        <v>290445790.5</v>
      </c>
      <c r="D33" s="43"/>
      <c r="E33" s="43"/>
      <c r="F33" s="43"/>
      <c r="G33" s="43"/>
      <c r="H33" s="43"/>
      <c r="I33" s="43"/>
    </row>
    <row r="34" spans="1:9" x14ac:dyDescent="0.25">
      <c r="A34" s="42" t="str">
        <f>LEFT('SC12'!A12,3)</f>
        <v>Jan</v>
      </c>
      <c r="B34" s="43" t="str">
        <f>'SC12'!F12</f>
        <v/>
      </c>
      <c r="C34" s="45">
        <f>'SC12'!G12</f>
        <v>338853422.25</v>
      </c>
      <c r="D34" s="43"/>
      <c r="E34" s="43"/>
      <c r="F34" s="43"/>
      <c r="G34" s="43"/>
      <c r="H34" s="43"/>
      <c r="I34" s="43"/>
    </row>
    <row r="35" spans="1:9" x14ac:dyDescent="0.25">
      <c r="A35" s="42" t="str">
        <f>LEFT('SC12'!A13,3)</f>
        <v>Feb</v>
      </c>
      <c r="B35" s="43" t="str">
        <f>'SC12'!F13</f>
        <v/>
      </c>
      <c r="C35" s="45">
        <f>'SC12'!G13</f>
        <v>387261054</v>
      </c>
      <c r="D35" s="43"/>
      <c r="E35" s="43"/>
      <c r="F35" s="43"/>
      <c r="G35" s="43"/>
      <c r="H35" s="43"/>
      <c r="I35" s="43"/>
    </row>
    <row r="36" spans="1:9" x14ac:dyDescent="0.25">
      <c r="A36" s="42" t="str">
        <f>LEFT('SC12'!A14,3)</f>
        <v>Mar</v>
      </c>
      <c r="B36" s="43" t="str">
        <f>'SC12'!F14</f>
        <v/>
      </c>
      <c r="C36" s="45">
        <f>'SC12'!G14</f>
        <v>435668685.75</v>
      </c>
      <c r="D36" s="43"/>
      <c r="E36" s="43"/>
      <c r="F36" s="43"/>
      <c r="G36" s="43"/>
      <c r="H36" s="43"/>
      <c r="I36" s="43"/>
    </row>
    <row r="37" spans="1:9" x14ac:dyDescent="0.25">
      <c r="A37" s="42" t="str">
        <f>LEFT('SC12'!A15,3)</f>
        <v>Apr</v>
      </c>
      <c r="B37" s="43" t="str">
        <f>'SC12'!F15</f>
        <v/>
      </c>
      <c r="C37" s="45">
        <f>'SC12'!G15</f>
        <v>484076317.5</v>
      </c>
      <c r="D37" s="43"/>
      <c r="E37" s="43"/>
      <c r="F37" s="43"/>
      <c r="G37" s="43"/>
      <c r="H37" s="43"/>
      <c r="I37" s="43"/>
    </row>
    <row r="38" spans="1:9" x14ac:dyDescent="0.25">
      <c r="A38" s="42" t="str">
        <f>LEFT('SC12'!A16,3)</f>
        <v>May</v>
      </c>
      <c r="B38" s="43" t="str">
        <f>'SC12'!F16</f>
        <v/>
      </c>
      <c r="C38" s="45">
        <f>'SC12'!G16</f>
        <v>532483949.25</v>
      </c>
      <c r="D38" s="43"/>
      <c r="E38" s="43"/>
      <c r="F38" s="43"/>
      <c r="G38" s="43"/>
      <c r="H38" s="43"/>
      <c r="I38" s="43"/>
    </row>
    <row r="39" spans="1:9" x14ac:dyDescent="0.25">
      <c r="A39" s="91" t="str">
        <f>LEFT('SC12'!A17,3)</f>
        <v>Jun</v>
      </c>
      <c r="B39" s="356" t="str">
        <f>'SC12'!F17</f>
        <v/>
      </c>
      <c r="C39" s="357">
        <f>'SC12'!G17</f>
        <v>580891581</v>
      </c>
      <c r="D39" s="43"/>
      <c r="E39" s="43"/>
      <c r="F39" s="43"/>
      <c r="G39" s="43"/>
      <c r="H39" s="43"/>
      <c r="I39" s="43"/>
    </row>
    <row r="51" spans="1:9" ht="13.5" x14ac:dyDescent="0.25">
      <c r="A51" s="366" t="str">
        <f>'Template names'!B104</f>
        <v>Chart C3 Aged Consumer Debtors Analysis</v>
      </c>
      <c r="B51" s="363"/>
      <c r="C51" s="363"/>
      <c r="D51" s="364"/>
      <c r="E51" s="61"/>
      <c r="F51" s="61"/>
      <c r="G51" s="61"/>
      <c r="H51" s="61"/>
      <c r="I51" s="61"/>
    </row>
    <row r="52" spans="1:9" x14ac:dyDescent="0.25">
      <c r="A52" s="61"/>
      <c r="B52" s="49" t="str">
        <f>'SC3'!C3</f>
        <v>0-30 Days</v>
      </c>
      <c r="C52" s="61" t="str">
        <f>'SC3'!D3</f>
        <v>31-60 Days</v>
      </c>
      <c r="D52" s="61" t="str">
        <f>'SC3'!E3</f>
        <v>61-90 Days</v>
      </c>
      <c r="E52" s="61" t="str">
        <f>'SC3'!F3</f>
        <v>91-120 Days</v>
      </c>
      <c r="F52" s="61" t="str">
        <f>'SC3'!G3</f>
        <v>121-150 Dys</v>
      </c>
      <c r="G52" s="61" t="str">
        <f>'SC3'!H3</f>
        <v>151-180 Dys</v>
      </c>
      <c r="H52" s="61" t="str">
        <f>'SC3'!I3</f>
        <v>181 Dys-1 Yr</v>
      </c>
      <c r="I52" s="61" t="str">
        <f>'SC3'!J3</f>
        <v>Over 1Yr</v>
      </c>
    </row>
    <row r="53" spans="1:9" x14ac:dyDescent="0.25">
      <c r="A53" s="61" t="str">
        <f>Head2</f>
        <v>Budget Year 2020/21</v>
      </c>
      <c r="B53" s="43">
        <f>'SC3'!C14</f>
        <v>464684848.15000004</v>
      </c>
      <c r="C53" s="43">
        <f>'SC3'!D14</f>
        <v>159560738.65999997</v>
      </c>
      <c r="D53" s="43">
        <f>'SC3'!E14</f>
        <v>118329687.81000002</v>
      </c>
      <c r="E53" s="43">
        <f>'SC3'!F14</f>
        <v>104982051.19999999</v>
      </c>
      <c r="F53" s="43">
        <f>'SC3'!G14</f>
        <v>120660739.36</v>
      </c>
      <c r="G53" s="43">
        <f>'SC3'!H14</f>
        <v>96137849.939999998</v>
      </c>
      <c r="H53" s="43">
        <f>'SC3'!I14</f>
        <v>475255279.87</v>
      </c>
      <c r="I53" s="43">
        <f>'SC3'!J14</f>
        <v>3232895444.7199998</v>
      </c>
    </row>
    <row r="54" spans="1:9" x14ac:dyDescent="0.25">
      <c r="A54" s="61" t="str">
        <f>Head1</f>
        <v>2019/20</v>
      </c>
      <c r="B54" s="43">
        <f>'SC3'!C15</f>
        <v>704600774.9000001</v>
      </c>
      <c r="C54" s="43">
        <f>'SC3'!D15</f>
        <v>-4325301.05</v>
      </c>
      <c r="D54" s="43">
        <f>'SC3'!E15</f>
        <v>117682805.63000001</v>
      </c>
      <c r="E54" s="43">
        <f>'SC3'!F15</f>
        <v>101021025.72999999</v>
      </c>
      <c r="F54" s="43">
        <f>'SC3'!G15</f>
        <v>97617113.169999987</v>
      </c>
      <c r="G54" s="43">
        <f>'SC3'!H15</f>
        <v>89416119.010000005</v>
      </c>
      <c r="H54" s="43">
        <f>'SC3'!I15</f>
        <v>534223289.34000003</v>
      </c>
      <c r="I54" s="43">
        <f>'SC3'!J15</f>
        <v>2831952593.4300003</v>
      </c>
    </row>
    <row r="55" spans="1:9" x14ac:dyDescent="0.25">
      <c r="A55" s="67"/>
      <c r="B55" s="43"/>
      <c r="C55" s="43"/>
      <c r="D55" s="43"/>
      <c r="E55" s="43"/>
      <c r="F55" s="43"/>
      <c r="G55" s="43"/>
      <c r="H55" s="43"/>
      <c r="I55" s="43"/>
    </row>
    <row r="56" spans="1:9" x14ac:dyDescent="0.25">
      <c r="A56" s="67"/>
      <c r="B56" s="43"/>
      <c r="C56" s="43"/>
      <c r="D56" s="43"/>
      <c r="E56" s="43"/>
      <c r="F56" s="43"/>
      <c r="G56" s="43"/>
      <c r="H56" s="43"/>
      <c r="I56" s="43"/>
    </row>
    <row r="57" spans="1:9" x14ac:dyDescent="0.25">
      <c r="A57" s="67"/>
      <c r="B57" s="43"/>
      <c r="C57" s="43"/>
      <c r="D57" s="43"/>
      <c r="E57" s="43"/>
      <c r="F57" s="43"/>
      <c r="G57" s="43"/>
      <c r="H57" s="43"/>
      <c r="I57" s="43"/>
    </row>
    <row r="58" spans="1:9" x14ac:dyDescent="0.25">
      <c r="A58" s="67"/>
      <c r="B58" s="43"/>
      <c r="C58" s="43"/>
      <c r="D58" s="43"/>
      <c r="E58" s="43"/>
      <c r="F58" s="43"/>
      <c r="G58" s="43"/>
      <c r="H58" s="43"/>
      <c r="I58" s="43"/>
    </row>
    <row r="59" spans="1:9" x14ac:dyDescent="0.25">
      <c r="A59" s="67"/>
      <c r="B59" s="43"/>
      <c r="C59" s="43"/>
      <c r="D59" s="43"/>
      <c r="E59" s="43"/>
      <c r="F59" s="43"/>
      <c r="G59" s="43"/>
      <c r="H59" s="43"/>
      <c r="I59" s="43"/>
    </row>
    <row r="60" spans="1:9" x14ac:dyDescent="0.25">
      <c r="A60" s="67"/>
      <c r="B60" s="43"/>
      <c r="C60" s="43"/>
      <c r="D60" s="43"/>
      <c r="E60" s="43"/>
      <c r="F60" s="43"/>
      <c r="G60" s="43"/>
      <c r="H60" s="43"/>
      <c r="I60" s="43"/>
    </row>
    <row r="61" spans="1:9" x14ac:dyDescent="0.25">
      <c r="A61" s="67"/>
      <c r="B61" s="43"/>
      <c r="C61" s="43"/>
      <c r="D61" s="43"/>
      <c r="E61" s="43"/>
      <c r="F61" s="43"/>
      <c r="G61" s="43"/>
      <c r="H61" s="43"/>
      <c r="I61" s="43"/>
    </row>
    <row r="62" spans="1:9" x14ac:dyDescent="0.25">
      <c r="A62" s="67"/>
      <c r="B62" s="43"/>
      <c r="C62" s="43"/>
      <c r="D62" s="43"/>
      <c r="E62" s="43"/>
      <c r="F62" s="43"/>
      <c r="G62" s="43"/>
      <c r="H62" s="43"/>
      <c r="I62" s="43"/>
    </row>
    <row r="63" spans="1:9" x14ac:dyDescent="0.25">
      <c r="A63" s="67"/>
      <c r="B63" s="43"/>
      <c r="C63" s="43"/>
      <c r="D63" s="43"/>
      <c r="E63" s="43"/>
      <c r="F63" s="43"/>
      <c r="G63" s="43"/>
      <c r="H63" s="43"/>
      <c r="I63" s="43"/>
    </row>
    <row r="64" spans="1:9" x14ac:dyDescent="0.25">
      <c r="A64" s="67"/>
      <c r="B64" s="43"/>
      <c r="C64" s="43"/>
      <c r="D64" s="43"/>
      <c r="E64" s="43"/>
      <c r="F64" s="43"/>
      <c r="G64" s="43"/>
      <c r="H64" s="43"/>
      <c r="I64" s="43"/>
    </row>
    <row r="65" spans="1:10" x14ac:dyDescent="0.25">
      <c r="A65" s="67"/>
      <c r="B65" s="67"/>
      <c r="C65" s="67"/>
      <c r="D65" s="67"/>
    </row>
    <row r="76" spans="1:10" ht="13.5" x14ac:dyDescent="0.25">
      <c r="A76" s="366" t="str">
        <f>'Template names'!B105</f>
        <v>Chart C4 Consumer Debtors (total by Debtor Customer Category)</v>
      </c>
      <c r="B76" s="363"/>
      <c r="C76" s="363"/>
      <c r="D76" s="364"/>
      <c r="E76" s="61"/>
      <c r="F76" s="61"/>
      <c r="G76" s="61"/>
      <c r="H76" s="61"/>
      <c r="I76" s="61"/>
    </row>
    <row r="77" spans="1:10" x14ac:dyDescent="0.25">
      <c r="B77" s="49" t="str">
        <f>Head1</f>
        <v>2019/20</v>
      </c>
      <c r="C77" s="61" t="str">
        <f>Head2</f>
        <v>Budget Year 2020/21</v>
      </c>
      <c r="D77" s="61"/>
      <c r="E77" s="61"/>
      <c r="F77" s="61"/>
      <c r="G77" s="61"/>
      <c r="H77" s="61"/>
      <c r="I77" s="61"/>
      <c r="J77" s="61"/>
    </row>
    <row r="78" spans="1:10" x14ac:dyDescent="0.25">
      <c r="A78" s="61" t="str">
        <f>'SC3'!A17</f>
        <v>Organs of State</v>
      </c>
      <c r="B78" s="43">
        <f>C78*0.97</f>
        <v>216070331.38149998</v>
      </c>
      <c r="C78" s="43">
        <f>'SC3'!K17</f>
        <v>222752918.94999999</v>
      </c>
      <c r="D78" s="43"/>
      <c r="E78" s="43"/>
      <c r="F78" s="43"/>
      <c r="G78" s="43"/>
      <c r="H78" s="43"/>
      <c r="I78" s="43"/>
      <c r="J78" s="43"/>
    </row>
    <row r="79" spans="1:10" x14ac:dyDescent="0.25">
      <c r="A79" s="61" t="str">
        <f>'SC3'!A18</f>
        <v>Commercial</v>
      </c>
      <c r="B79" s="43">
        <f>C79*0.97</f>
        <v>703333588.90610003</v>
      </c>
      <c r="C79" s="43">
        <f>'SC3'!K18</f>
        <v>725086174.13</v>
      </c>
      <c r="D79" s="43"/>
      <c r="E79" s="43"/>
      <c r="F79" s="43"/>
      <c r="G79" s="43"/>
      <c r="H79" s="43"/>
      <c r="I79" s="43"/>
      <c r="J79" s="43"/>
    </row>
    <row r="80" spans="1:10" x14ac:dyDescent="0.25">
      <c r="A80" s="61" t="str">
        <f>'SC3'!A19</f>
        <v>Households</v>
      </c>
      <c r="B80" s="43">
        <f>C80*0.97</f>
        <v>3476035056.5186</v>
      </c>
      <c r="C80" s="43">
        <f>'SC3'!K19</f>
        <v>3583541295.3800001</v>
      </c>
    </row>
    <row r="81" spans="1:3" x14ac:dyDescent="0.25">
      <c r="A81" s="61" t="str">
        <f>'SC3'!A20</f>
        <v>Other</v>
      </c>
      <c r="B81" s="43">
        <f>C81*0.97</f>
        <v>233892463.71250001</v>
      </c>
      <c r="C81" s="43">
        <f>'SC3'!K20</f>
        <v>241126251.25</v>
      </c>
    </row>
    <row r="101" spans="1:10" ht="13.5" x14ac:dyDescent="0.25">
      <c r="A101" s="366" t="str">
        <f>'Template names'!B106</f>
        <v>Chart C5 Aged Creditors Analysis</v>
      </c>
      <c r="B101" s="363"/>
      <c r="C101" s="363"/>
      <c r="D101" s="364"/>
      <c r="E101" s="61"/>
      <c r="F101" s="61"/>
    </row>
    <row r="102" spans="1:10" x14ac:dyDescent="0.25">
      <c r="B102" s="49" t="str">
        <f>'SC4'!A6</f>
        <v>Bulk Electricity</v>
      </c>
      <c r="C102" s="61" t="str">
        <f>'SC4'!A7</f>
        <v>Bulk Water</v>
      </c>
      <c r="D102" s="61" t="str">
        <f>'SC4'!A8</f>
        <v>PAYE deductions</v>
      </c>
      <c r="E102" s="61" t="str">
        <f>'SC4'!A9</f>
        <v>VAT (output less input)</v>
      </c>
      <c r="F102" s="61" t="str">
        <f>'SC4'!A10</f>
        <v>Pensions / Retirement deductions</v>
      </c>
      <c r="G102" s="370" t="str">
        <f>'SC4'!A11</f>
        <v>Loan repayments</v>
      </c>
      <c r="H102" s="370" t="str">
        <f>'SC4'!A12</f>
        <v>Trade Creditors</v>
      </c>
      <c r="I102" s="370" t="str">
        <f>'SC4'!A13</f>
        <v>Auditor General</v>
      </c>
      <c r="J102" s="370" t="str">
        <f>'SC4'!A14</f>
        <v>Other</v>
      </c>
    </row>
    <row r="103" spans="1:10" x14ac:dyDescent="0.25">
      <c r="A103" s="61" t="str">
        <f>A54</f>
        <v>2019/20</v>
      </c>
      <c r="B103" s="405">
        <f>'SC4'!L6</f>
        <v>304985824.36000001</v>
      </c>
      <c r="C103" s="405">
        <f>'SC4'!L7</f>
        <v>88291134.840000004</v>
      </c>
      <c r="D103" s="405">
        <f>'SC4'!L8</f>
        <v>0</v>
      </c>
      <c r="E103" s="405">
        <f>'SC4'!L9</f>
        <v>152808254.80000001</v>
      </c>
      <c r="F103" s="405">
        <f>'SC4'!L10</f>
        <v>0</v>
      </c>
      <c r="G103" s="405">
        <f>'SC4'!L11</f>
        <v>0</v>
      </c>
      <c r="H103" s="405">
        <f>'SC4'!L12</f>
        <v>49431901.299999982</v>
      </c>
      <c r="I103" s="405">
        <f>'SC4'!L13</f>
        <v>0</v>
      </c>
      <c r="J103" s="405">
        <f>'SC4'!L14</f>
        <v>227312122.72999999</v>
      </c>
    </row>
    <row r="104" spans="1:10" x14ac:dyDescent="0.25">
      <c r="A104" s="61" t="str">
        <f>A53</f>
        <v>Budget Year 2020/21</v>
      </c>
      <c r="B104" s="43">
        <f>'SC4'!K6</f>
        <v>198122216.74000001</v>
      </c>
      <c r="C104" s="43">
        <f>'SC4'!K7</f>
        <v>269304647.73000002</v>
      </c>
      <c r="D104" s="43">
        <f>'SC4'!K8</f>
        <v>0</v>
      </c>
      <c r="E104" s="43">
        <f>'SC4'!K9</f>
        <v>0</v>
      </c>
      <c r="F104" s="43">
        <f>'SC4'!K10</f>
        <v>0</v>
      </c>
      <c r="G104" s="43">
        <f>'SC4'!K11</f>
        <v>0</v>
      </c>
      <c r="H104" s="43">
        <f>'SC4'!K12</f>
        <v>40178716.279999994</v>
      </c>
      <c r="I104" s="43">
        <f>'SC4'!K13</f>
        <v>0</v>
      </c>
      <c r="J104" s="43">
        <f>'SC4'!K14</f>
        <v>0</v>
      </c>
    </row>
    <row r="106" spans="1:10" ht="12" customHeight="1" x14ac:dyDescent="0.25">
      <c r="A106" s="61"/>
      <c r="B106" s="43"/>
      <c r="C106" s="43"/>
    </row>
  </sheetData>
  <sheetProtection selectLockedCells="1" selectUnlockedCells="1"/>
  <phoneticPr fontId="2"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V307"/>
  <sheetViews>
    <sheetView topLeftCell="A259" workbookViewId="0">
      <selection activeCell="A286" sqref="A286"/>
    </sheetView>
  </sheetViews>
  <sheetFormatPr defaultColWidth="9.140625" defaultRowHeight="11.25" x14ac:dyDescent="0.2"/>
  <cols>
    <col min="1" max="1" width="28.85546875" style="1" bestFit="1" customWidth="1"/>
    <col min="2" max="4" width="41.85546875" style="1" bestFit="1" customWidth="1"/>
    <col min="5" max="14" width="41.85546875" style="1" customWidth="1"/>
    <col min="15" max="15" width="43.5703125" style="1" customWidth="1"/>
    <col min="16" max="16" width="1.28515625" style="1" customWidth="1"/>
    <col min="17" max="17" width="9.140625" style="1"/>
    <col min="18" max="19" width="33.42578125" style="1" bestFit="1" customWidth="1"/>
    <col min="20" max="20" width="31.7109375" style="1" customWidth="1"/>
    <col min="21" max="21" width="22.85546875" style="1" customWidth="1"/>
    <col min="22" max="16384" width="9.140625" style="1"/>
  </cols>
  <sheetData>
    <row r="1" spans="1:22" s="371" customFormat="1" x14ac:dyDescent="0.2">
      <c r="A1" s="373" t="s">
        <v>673</v>
      </c>
      <c r="B1" s="374">
        <v>2007</v>
      </c>
      <c r="C1" s="374">
        <v>2008</v>
      </c>
      <c r="D1" s="374">
        <v>2009</v>
      </c>
      <c r="E1" s="375">
        <v>2010</v>
      </c>
      <c r="F1" s="374">
        <v>2011</v>
      </c>
      <c r="G1" s="375">
        <v>2012</v>
      </c>
      <c r="H1" s="374">
        <v>2013</v>
      </c>
      <c r="I1" s="375">
        <v>2014</v>
      </c>
      <c r="J1" s="374">
        <v>2015</v>
      </c>
      <c r="K1" s="375">
        <v>2016</v>
      </c>
      <c r="L1" s="374">
        <v>2017</v>
      </c>
      <c r="M1" s="375">
        <v>2018</v>
      </c>
      <c r="N1" s="374">
        <v>2019</v>
      </c>
      <c r="O1" s="375">
        <v>2020</v>
      </c>
      <c r="P1" s="376"/>
      <c r="Q1" s="377" t="s">
        <v>21</v>
      </c>
      <c r="R1" s="377" t="s">
        <v>22</v>
      </c>
      <c r="S1" s="377" t="s">
        <v>23</v>
      </c>
      <c r="T1" s="377" t="s">
        <v>24</v>
      </c>
      <c r="U1" s="377" t="s">
        <v>25</v>
      </c>
      <c r="V1" s="371" t="s">
        <v>76</v>
      </c>
    </row>
    <row r="2" spans="1:22" x14ac:dyDescent="0.2">
      <c r="A2" s="7" t="str">
        <f>'Template names'!C2</f>
        <v>Prior year -1</v>
      </c>
      <c r="B2" s="4" t="s">
        <v>555</v>
      </c>
      <c r="C2" s="4" t="s">
        <v>26</v>
      </c>
      <c r="D2" s="4" t="s">
        <v>27</v>
      </c>
      <c r="E2" s="380" t="str">
        <f>E1-1&amp;"/"&amp;RIGHT(E1,2)-0</f>
        <v>2009/10</v>
      </c>
      <c r="F2" s="380" t="str">
        <f t="shared" ref="F2:O2" si="0">F1-1&amp;"/"&amp;RIGHT(F1,2)-0</f>
        <v>2010/11</v>
      </c>
      <c r="G2" s="380" t="str">
        <f t="shared" si="0"/>
        <v>2011/12</v>
      </c>
      <c r="H2" s="380" t="str">
        <f t="shared" si="0"/>
        <v>2012/13</v>
      </c>
      <c r="I2" s="380" t="str">
        <f t="shared" si="0"/>
        <v>2013/14</v>
      </c>
      <c r="J2" s="380" t="str">
        <f t="shared" si="0"/>
        <v>2014/15</v>
      </c>
      <c r="K2" s="380" t="str">
        <f t="shared" si="0"/>
        <v>2015/16</v>
      </c>
      <c r="L2" s="380" t="str">
        <f t="shared" si="0"/>
        <v>2016/17</v>
      </c>
      <c r="M2" s="380" t="str">
        <f t="shared" si="0"/>
        <v>2017/18</v>
      </c>
      <c r="N2" s="380" t="str">
        <f t="shared" si="0"/>
        <v>2018/19</v>
      </c>
      <c r="O2" s="380" t="str">
        <f t="shared" si="0"/>
        <v>2019/20</v>
      </c>
      <c r="P2" s="4"/>
      <c r="R2" s="1" t="s">
        <v>986</v>
      </c>
      <c r="S2" s="1" t="s">
        <v>996</v>
      </c>
      <c r="T2" s="1" t="s">
        <v>50</v>
      </c>
      <c r="U2" s="1" t="s">
        <v>1003</v>
      </c>
      <c r="V2" s="1" t="s">
        <v>570</v>
      </c>
    </row>
    <row r="3" spans="1:22" x14ac:dyDescent="0.2">
      <c r="A3" s="7" t="str">
        <f>'Template names'!C5</f>
        <v>MTREF header name</v>
      </c>
      <c r="B3" s="4" t="s">
        <v>29</v>
      </c>
      <c r="C3" s="4" t="s">
        <v>30</v>
      </c>
      <c r="D3" s="4" t="s">
        <v>31</v>
      </c>
      <c r="E3" s="378" t="str">
        <f>E1&amp;"/"&amp;RIGHT(E1,2)+1&amp;" Medium Term Revenue &amp; Expenditure Framework"</f>
        <v>2010/11 Medium Term Revenue &amp; Expenditure Framework</v>
      </c>
      <c r="F3" s="378" t="str">
        <f t="shared" ref="F3:O3" si="1">F1&amp;"/"&amp;RIGHT(F1,2)+1&amp;" Medium Term Revenue &amp; Expenditure Framework"</f>
        <v>2011/12 Medium Term Revenue &amp; Expenditure Framework</v>
      </c>
      <c r="G3" s="378" t="str">
        <f t="shared" si="1"/>
        <v>2012/13 Medium Term Revenue &amp; Expenditure Framework</v>
      </c>
      <c r="H3" s="378" t="str">
        <f t="shared" si="1"/>
        <v>2013/14 Medium Term Revenue &amp; Expenditure Framework</v>
      </c>
      <c r="I3" s="378" t="str">
        <f t="shared" si="1"/>
        <v>2014/15 Medium Term Revenue &amp; Expenditure Framework</v>
      </c>
      <c r="J3" s="378" t="str">
        <f t="shared" si="1"/>
        <v>2015/16 Medium Term Revenue &amp; Expenditure Framework</v>
      </c>
      <c r="K3" s="378" t="str">
        <f t="shared" si="1"/>
        <v>2016/17 Medium Term Revenue &amp; Expenditure Framework</v>
      </c>
      <c r="L3" s="378" t="str">
        <f t="shared" si="1"/>
        <v>2017/18 Medium Term Revenue &amp; Expenditure Framework</v>
      </c>
      <c r="M3" s="378" t="str">
        <f t="shared" si="1"/>
        <v>2018/19 Medium Term Revenue &amp; Expenditure Framework</v>
      </c>
      <c r="N3" s="378" t="str">
        <f t="shared" si="1"/>
        <v>2019/20 Medium Term Revenue &amp; Expenditure Framework</v>
      </c>
      <c r="O3" s="378" t="str">
        <f t="shared" si="1"/>
        <v>2020/21 Medium Term Revenue &amp; Expenditure Framework</v>
      </c>
      <c r="P3" s="4"/>
      <c r="R3" s="1" t="s">
        <v>987</v>
      </c>
      <c r="S3" s="1" t="s">
        <v>997</v>
      </c>
      <c r="T3" s="1" t="s">
        <v>1008</v>
      </c>
      <c r="U3" s="1" t="s">
        <v>1004</v>
      </c>
      <c r="V3" s="1" t="s">
        <v>77</v>
      </c>
    </row>
    <row r="4" spans="1:22" x14ac:dyDescent="0.2">
      <c r="A4" s="7" t="str">
        <f>'Template names'!C4</f>
        <v>Approved budget year</v>
      </c>
      <c r="B4" s="4" t="s">
        <v>26</v>
      </c>
      <c r="C4" s="4" t="s">
        <v>27</v>
      </c>
      <c r="D4" s="4" t="s">
        <v>28</v>
      </c>
      <c r="E4" s="381" t="str">
        <f>E1&amp;"/"&amp;RIGHT(E1,2)+1</f>
        <v>2010/11</v>
      </c>
      <c r="F4" s="381" t="str">
        <f t="shared" ref="F4:O4" si="2">F1&amp;"/"&amp;RIGHT(F1,2)+1</f>
        <v>2011/12</v>
      </c>
      <c r="G4" s="381" t="str">
        <f t="shared" si="2"/>
        <v>2012/13</v>
      </c>
      <c r="H4" s="381" t="str">
        <f t="shared" si="2"/>
        <v>2013/14</v>
      </c>
      <c r="I4" s="381" t="str">
        <f t="shared" si="2"/>
        <v>2014/15</v>
      </c>
      <c r="J4" s="381" t="str">
        <f t="shared" si="2"/>
        <v>2015/16</v>
      </c>
      <c r="K4" s="381" t="str">
        <f t="shared" si="2"/>
        <v>2016/17</v>
      </c>
      <c r="L4" s="381" t="str">
        <f t="shared" si="2"/>
        <v>2017/18</v>
      </c>
      <c r="M4" s="381" t="str">
        <f t="shared" si="2"/>
        <v>2018/19</v>
      </c>
      <c r="N4" s="381" t="str">
        <f t="shared" si="2"/>
        <v>2019/20</v>
      </c>
      <c r="O4" s="381" t="str">
        <f t="shared" si="2"/>
        <v>2020/21</v>
      </c>
      <c r="P4" s="4"/>
      <c r="R4" s="1" t="s">
        <v>988</v>
      </c>
      <c r="S4" s="1" t="s">
        <v>711</v>
      </c>
      <c r="T4" s="1" t="s">
        <v>998</v>
      </c>
      <c r="U4" s="1" t="s">
        <v>610</v>
      </c>
    </row>
    <row r="5" spans="1:22" x14ac:dyDescent="0.2">
      <c r="A5" s="7" t="str">
        <f>'Template names'!C12</f>
        <v>1st year of MTREF</v>
      </c>
      <c r="B5" s="4" t="s">
        <v>32</v>
      </c>
      <c r="C5" s="4" t="s">
        <v>33</v>
      </c>
      <c r="D5" s="4" t="s">
        <v>34</v>
      </c>
      <c r="E5" s="378" t="str">
        <f>"Budget Year "&amp;E1&amp;"/"&amp;RIGHT(E1,2)+1</f>
        <v>Budget Year 2010/11</v>
      </c>
      <c r="F5" s="378" t="str">
        <f t="shared" ref="F5:O5" si="3">"Budget Year "&amp;F1&amp;"/"&amp;RIGHT(F1,2)+1</f>
        <v>Budget Year 2011/12</v>
      </c>
      <c r="G5" s="378" t="str">
        <f t="shared" si="3"/>
        <v>Budget Year 2012/13</v>
      </c>
      <c r="H5" s="378" t="str">
        <f t="shared" si="3"/>
        <v>Budget Year 2013/14</v>
      </c>
      <c r="I5" s="378" t="str">
        <f t="shared" si="3"/>
        <v>Budget Year 2014/15</v>
      </c>
      <c r="J5" s="378" t="str">
        <f t="shared" si="3"/>
        <v>Budget Year 2015/16</v>
      </c>
      <c r="K5" s="378" t="str">
        <f t="shared" si="3"/>
        <v>Budget Year 2016/17</v>
      </c>
      <c r="L5" s="378" t="str">
        <f t="shared" si="3"/>
        <v>Budget Year 2017/18</v>
      </c>
      <c r="M5" s="378" t="str">
        <f t="shared" si="3"/>
        <v>Budget Year 2018/19</v>
      </c>
      <c r="N5" s="378" t="str">
        <f t="shared" si="3"/>
        <v>Budget Year 2019/20</v>
      </c>
      <c r="O5" s="378" t="str">
        <f t="shared" si="3"/>
        <v>Budget Year 2020/21</v>
      </c>
      <c r="P5" s="4"/>
      <c r="R5" s="1" t="s">
        <v>566</v>
      </c>
      <c r="S5" s="1" t="s">
        <v>771</v>
      </c>
      <c r="T5" s="1" t="s">
        <v>999</v>
      </c>
      <c r="U5" s="1" t="s">
        <v>1005</v>
      </c>
    </row>
    <row r="6" spans="1:22" x14ac:dyDescent="0.2">
      <c r="A6" s="7" t="str">
        <f>'Template names'!C13</f>
        <v>2nd year of MTREF</v>
      </c>
      <c r="B6" s="4" t="s">
        <v>35</v>
      </c>
      <c r="C6" s="4" t="s">
        <v>36</v>
      </c>
      <c r="D6" s="4" t="s">
        <v>37</v>
      </c>
      <c r="E6" s="378" t="str">
        <f>"Budget Year +1 "&amp;E1+1&amp;"/"&amp;RIGHT(E1,2)+2</f>
        <v>Budget Year +1 2011/12</v>
      </c>
      <c r="F6" s="378" t="str">
        <f t="shared" ref="F6:O6" si="4">"Budget Year +1 "&amp;F1+1&amp;"/"&amp;RIGHT(F1,2)+2</f>
        <v>Budget Year +1 2012/13</v>
      </c>
      <c r="G6" s="378" t="str">
        <f t="shared" si="4"/>
        <v>Budget Year +1 2013/14</v>
      </c>
      <c r="H6" s="378" t="str">
        <f t="shared" si="4"/>
        <v>Budget Year +1 2014/15</v>
      </c>
      <c r="I6" s="378" t="str">
        <f t="shared" si="4"/>
        <v>Budget Year +1 2015/16</v>
      </c>
      <c r="J6" s="378" t="str">
        <f t="shared" si="4"/>
        <v>Budget Year +1 2016/17</v>
      </c>
      <c r="K6" s="378" t="str">
        <f t="shared" si="4"/>
        <v>Budget Year +1 2017/18</v>
      </c>
      <c r="L6" s="378" t="str">
        <f t="shared" si="4"/>
        <v>Budget Year +1 2018/19</v>
      </c>
      <c r="M6" s="378" t="str">
        <f t="shared" si="4"/>
        <v>Budget Year +1 2019/20</v>
      </c>
      <c r="N6" s="378" t="str">
        <f t="shared" si="4"/>
        <v>Budget Year +1 2020/21</v>
      </c>
      <c r="O6" s="378" t="str">
        <f t="shared" si="4"/>
        <v>Budget Year +1 2021/22</v>
      </c>
      <c r="P6" s="4"/>
      <c r="R6" s="1" t="s">
        <v>989</v>
      </c>
      <c r="T6" s="1" t="s">
        <v>1000</v>
      </c>
      <c r="U6" s="1" t="s">
        <v>1006</v>
      </c>
    </row>
    <row r="7" spans="1:22" x14ac:dyDescent="0.2">
      <c r="A7" s="7" t="str">
        <f>'Template names'!C14</f>
        <v>3rd year of MTREF</v>
      </c>
      <c r="B7" s="4" t="s">
        <v>38</v>
      </c>
      <c r="C7" s="4" t="s">
        <v>39</v>
      </c>
      <c r="D7" s="4" t="s">
        <v>40</v>
      </c>
      <c r="E7" s="378" t="str">
        <f>"Budget Year +2 "&amp;E1+2&amp;"/"&amp;RIGHT(E1,2)+3</f>
        <v>Budget Year +2 2012/13</v>
      </c>
      <c r="F7" s="378" t="str">
        <f t="shared" ref="F7:O7" si="5">"Budget Year +2 "&amp;F1+2&amp;"/"&amp;RIGHT(F1,2)+3</f>
        <v>Budget Year +2 2013/14</v>
      </c>
      <c r="G7" s="378" t="str">
        <f t="shared" si="5"/>
        <v>Budget Year +2 2014/15</v>
      </c>
      <c r="H7" s="378" t="str">
        <f t="shared" si="5"/>
        <v>Budget Year +2 2015/16</v>
      </c>
      <c r="I7" s="378" t="str">
        <f t="shared" si="5"/>
        <v>Budget Year +2 2016/17</v>
      </c>
      <c r="J7" s="378" t="str">
        <f t="shared" si="5"/>
        <v>Budget Year +2 2017/18</v>
      </c>
      <c r="K7" s="378" t="str">
        <f t="shared" si="5"/>
        <v>Budget Year +2 2018/19</v>
      </c>
      <c r="L7" s="378" t="str">
        <f t="shared" si="5"/>
        <v>Budget Year +2 2019/20</v>
      </c>
      <c r="M7" s="378" t="str">
        <f t="shared" si="5"/>
        <v>Budget Year +2 2020/21</v>
      </c>
      <c r="N7" s="378" t="str">
        <f t="shared" si="5"/>
        <v>Budget Year +2 2021/22</v>
      </c>
      <c r="O7" s="378" t="str">
        <f t="shared" si="5"/>
        <v>Budget Year +2 2022/23</v>
      </c>
      <c r="P7" s="4"/>
      <c r="R7" s="1" t="s">
        <v>990</v>
      </c>
      <c r="T7" s="1" t="s">
        <v>1001</v>
      </c>
      <c r="U7" s="1" t="s">
        <v>1007</v>
      </c>
    </row>
    <row r="8" spans="1:22" ht="20.25" customHeight="1" x14ac:dyDescent="0.25">
      <c r="A8" s="379" t="s">
        <v>41</v>
      </c>
      <c r="R8" s="1" t="s">
        <v>991</v>
      </c>
      <c r="T8" s="1" t="s">
        <v>1002</v>
      </c>
      <c r="U8" s="1" t="s">
        <v>771</v>
      </c>
    </row>
    <row r="9" spans="1:22" x14ac:dyDescent="0.2">
      <c r="R9" s="1" t="s">
        <v>992</v>
      </c>
    </row>
    <row r="10" spans="1:22" x14ac:dyDescent="0.2">
      <c r="R10" s="1" t="s">
        <v>993</v>
      </c>
    </row>
    <row r="11" spans="1:22" x14ac:dyDescent="0.2">
      <c r="R11" s="1" t="s">
        <v>994</v>
      </c>
    </row>
    <row r="12" spans="1:22" x14ac:dyDescent="0.2">
      <c r="R12" s="1" t="s">
        <v>995</v>
      </c>
    </row>
    <row r="26" spans="1:3" x14ac:dyDescent="0.2">
      <c r="A26" s="1" t="s">
        <v>181</v>
      </c>
      <c r="B26" s="1">
        <v>85</v>
      </c>
    </row>
    <row r="27" spans="1:3" x14ac:dyDescent="0.2">
      <c r="A27" s="1" t="s">
        <v>182</v>
      </c>
      <c r="B27" s="1" t="str">
        <f>INDEX(B28:B311,B26,1)</f>
        <v>KZN225 Msunduzi</v>
      </c>
    </row>
    <row r="28" spans="1:3" ht="12.75" x14ac:dyDescent="0.2">
      <c r="B28" s="915" t="s">
        <v>183</v>
      </c>
      <c r="C28" s="1" t="s">
        <v>184</v>
      </c>
    </row>
    <row r="29" spans="1:3" ht="12.75" x14ac:dyDescent="0.2">
      <c r="B29" s="921" t="s">
        <v>1067</v>
      </c>
      <c r="C29" s="944" t="s">
        <v>1336</v>
      </c>
    </row>
    <row r="30" spans="1:3" ht="12.75" x14ac:dyDescent="0.2">
      <c r="B30" s="921" t="s">
        <v>1068</v>
      </c>
      <c r="C30" s="945" t="s">
        <v>1336</v>
      </c>
    </row>
    <row r="31" spans="1:3" ht="12.75" x14ac:dyDescent="0.2">
      <c r="B31" s="921" t="s">
        <v>1337</v>
      </c>
      <c r="C31" s="944" t="s">
        <v>1336</v>
      </c>
    </row>
    <row r="32" spans="1:3" ht="12.75" x14ac:dyDescent="0.2">
      <c r="B32" s="921" t="s">
        <v>219</v>
      </c>
      <c r="C32" s="944" t="s">
        <v>1336</v>
      </c>
    </row>
    <row r="33" spans="2:3" ht="12.75" x14ac:dyDescent="0.2">
      <c r="B33" s="921" t="s">
        <v>220</v>
      </c>
      <c r="C33" s="944" t="s">
        <v>1336</v>
      </c>
    </row>
    <row r="34" spans="2:3" ht="12.75" x14ac:dyDescent="0.2">
      <c r="B34" s="921" t="s">
        <v>221</v>
      </c>
      <c r="C34" s="944" t="s">
        <v>1336</v>
      </c>
    </row>
    <row r="35" spans="2:3" ht="12.75" x14ac:dyDescent="0.2">
      <c r="B35" s="921" t="s">
        <v>222</v>
      </c>
      <c r="C35" s="944" t="s">
        <v>1336</v>
      </c>
    </row>
    <row r="36" spans="2:3" ht="12.75" x14ac:dyDescent="0.2">
      <c r="B36" s="921" t="s">
        <v>223</v>
      </c>
      <c r="C36" s="945" t="s">
        <v>1336</v>
      </c>
    </row>
    <row r="37" spans="2:3" ht="12.75" x14ac:dyDescent="0.2">
      <c r="B37" s="921" t="s">
        <v>976</v>
      </c>
      <c r="C37" s="944" t="s">
        <v>1336</v>
      </c>
    </row>
    <row r="38" spans="2:3" ht="12.75" x14ac:dyDescent="0.2">
      <c r="B38" s="921" t="s">
        <v>1102</v>
      </c>
      <c r="C38" s="919" t="s">
        <v>1336</v>
      </c>
    </row>
    <row r="39" spans="2:3" ht="12.75" x14ac:dyDescent="0.2">
      <c r="B39" s="921" t="s">
        <v>224</v>
      </c>
      <c r="C39" s="919" t="s">
        <v>1336</v>
      </c>
    </row>
    <row r="40" spans="2:3" ht="12.75" x14ac:dyDescent="0.2">
      <c r="B40" s="921" t="s">
        <v>225</v>
      </c>
      <c r="C40" s="891" t="s">
        <v>1336</v>
      </c>
    </row>
    <row r="41" spans="2:3" ht="12.75" x14ac:dyDescent="0.2">
      <c r="B41" s="921" t="s">
        <v>226</v>
      </c>
      <c r="C41" s="891" t="s">
        <v>1336</v>
      </c>
    </row>
    <row r="42" spans="2:3" ht="12.75" x14ac:dyDescent="0.2">
      <c r="B42" s="921" t="s">
        <v>227</v>
      </c>
      <c r="C42" s="891" t="s">
        <v>1336</v>
      </c>
    </row>
    <row r="43" spans="2:3" ht="12.75" x14ac:dyDescent="0.2">
      <c r="B43" s="921" t="s">
        <v>228</v>
      </c>
      <c r="C43" s="891" t="s">
        <v>1336</v>
      </c>
    </row>
    <row r="44" spans="2:3" ht="12.75" x14ac:dyDescent="0.2">
      <c r="B44" s="946" t="s">
        <v>1106</v>
      </c>
      <c r="C44" s="891" t="s">
        <v>1336</v>
      </c>
    </row>
    <row r="45" spans="2:3" ht="12.75" x14ac:dyDescent="0.2">
      <c r="B45" s="921" t="s">
        <v>186</v>
      </c>
      <c r="C45" s="891" t="s">
        <v>1336</v>
      </c>
    </row>
    <row r="46" spans="2:3" ht="12.75" x14ac:dyDescent="0.2">
      <c r="B46" s="921" t="s">
        <v>229</v>
      </c>
      <c r="C46" s="891" t="s">
        <v>1336</v>
      </c>
    </row>
    <row r="47" spans="2:3" ht="12.75" x14ac:dyDescent="0.2">
      <c r="B47" s="921" t="s">
        <v>230</v>
      </c>
      <c r="C47" s="891" t="s">
        <v>1336</v>
      </c>
    </row>
    <row r="48" spans="2:3" ht="12.75" x14ac:dyDescent="0.2">
      <c r="B48" s="921" t="s">
        <v>231</v>
      </c>
      <c r="C48" s="891" t="s">
        <v>1336</v>
      </c>
    </row>
    <row r="49" spans="2:3" ht="12.75" x14ac:dyDescent="0.2">
      <c r="B49" s="921" t="s">
        <v>232</v>
      </c>
      <c r="C49" s="891" t="s">
        <v>1336</v>
      </c>
    </row>
    <row r="50" spans="2:3" ht="12.75" x14ac:dyDescent="0.2">
      <c r="B50" s="921" t="s">
        <v>233</v>
      </c>
      <c r="C50" s="919" t="s">
        <v>1336</v>
      </c>
    </row>
    <row r="51" spans="2:3" ht="12.75" x14ac:dyDescent="0.2">
      <c r="B51" s="946" t="s">
        <v>1107</v>
      </c>
      <c r="C51" s="919" t="s">
        <v>1336</v>
      </c>
    </row>
    <row r="52" spans="2:3" ht="12.75" x14ac:dyDescent="0.2">
      <c r="B52" s="921" t="s">
        <v>187</v>
      </c>
      <c r="C52" s="919" t="s">
        <v>1336</v>
      </c>
    </row>
    <row r="53" spans="2:3" ht="12.75" x14ac:dyDescent="0.2">
      <c r="B53" s="921" t="s">
        <v>234</v>
      </c>
      <c r="C53" s="919" t="s">
        <v>1336</v>
      </c>
    </row>
    <row r="54" spans="2:3" ht="12.75" x14ac:dyDescent="0.2">
      <c r="B54" s="921" t="s">
        <v>235</v>
      </c>
      <c r="C54" s="919" t="s">
        <v>1336</v>
      </c>
    </row>
    <row r="55" spans="2:3" ht="12.75" x14ac:dyDescent="0.2">
      <c r="B55" s="946" t="s">
        <v>1108</v>
      </c>
      <c r="C55" s="919" t="s">
        <v>1336</v>
      </c>
    </row>
    <row r="56" spans="2:3" ht="12.75" x14ac:dyDescent="0.2">
      <c r="B56" s="921" t="s">
        <v>974</v>
      </c>
      <c r="C56" s="919" t="s">
        <v>1336</v>
      </c>
    </row>
    <row r="57" spans="2:3" ht="12.75" x14ac:dyDescent="0.2">
      <c r="B57" s="921" t="s">
        <v>236</v>
      </c>
      <c r="C57" s="646" t="s">
        <v>1336</v>
      </c>
    </row>
    <row r="58" spans="2:3" ht="12.75" x14ac:dyDescent="0.2">
      <c r="B58" s="921" t="s">
        <v>237</v>
      </c>
      <c r="C58" s="646" t="s">
        <v>1336</v>
      </c>
    </row>
    <row r="59" spans="2:3" ht="12.75" x14ac:dyDescent="0.2">
      <c r="B59" s="921" t="s">
        <v>238</v>
      </c>
      <c r="C59" s="919" t="s">
        <v>1336</v>
      </c>
    </row>
    <row r="60" spans="2:3" ht="12.75" x14ac:dyDescent="0.2">
      <c r="B60" s="921" t="s">
        <v>239</v>
      </c>
      <c r="C60" s="919" t="s">
        <v>1336</v>
      </c>
    </row>
    <row r="61" spans="2:3" ht="12.75" x14ac:dyDescent="0.2">
      <c r="B61" s="921" t="s">
        <v>240</v>
      </c>
      <c r="C61" s="919" t="s">
        <v>1336</v>
      </c>
    </row>
    <row r="62" spans="2:3" ht="12.75" x14ac:dyDescent="0.2">
      <c r="B62" s="921" t="s">
        <v>188</v>
      </c>
      <c r="C62" s="919" t="s">
        <v>1336</v>
      </c>
    </row>
    <row r="63" spans="2:3" ht="12.75" x14ac:dyDescent="0.2">
      <c r="B63" s="921" t="s">
        <v>241</v>
      </c>
      <c r="C63" s="891" t="s">
        <v>1336</v>
      </c>
    </row>
    <row r="64" spans="2:3" ht="12.75" x14ac:dyDescent="0.2">
      <c r="B64" s="921" t="s">
        <v>242</v>
      </c>
      <c r="C64" s="919" t="s">
        <v>1336</v>
      </c>
    </row>
    <row r="65" spans="2:3" ht="12.75" x14ac:dyDescent="0.2">
      <c r="B65" s="921" t="s">
        <v>1062</v>
      </c>
      <c r="C65" s="919" t="s">
        <v>1336</v>
      </c>
    </row>
    <row r="66" spans="2:3" ht="12.75" x14ac:dyDescent="0.2">
      <c r="B66" s="921" t="s">
        <v>1063</v>
      </c>
      <c r="C66" s="919" t="s">
        <v>1336</v>
      </c>
    </row>
    <row r="67" spans="2:3" ht="12.75" x14ac:dyDescent="0.2">
      <c r="B67" s="921" t="s">
        <v>214</v>
      </c>
      <c r="C67" s="919" t="s">
        <v>1336</v>
      </c>
    </row>
    <row r="68" spans="2:3" ht="12.75" x14ac:dyDescent="0.2">
      <c r="B68" s="921" t="s">
        <v>1069</v>
      </c>
      <c r="C68" s="919" t="s">
        <v>1338</v>
      </c>
    </row>
    <row r="69" spans="2:3" ht="12.75" x14ac:dyDescent="0.2">
      <c r="B69" s="921" t="s">
        <v>243</v>
      </c>
      <c r="C69" s="919" t="s">
        <v>1338</v>
      </c>
    </row>
    <row r="70" spans="2:3" ht="12.75" x14ac:dyDescent="0.2">
      <c r="B70" s="921" t="s">
        <v>244</v>
      </c>
      <c r="C70" s="919" t="s">
        <v>1338</v>
      </c>
    </row>
    <row r="71" spans="2:3" ht="12.75" x14ac:dyDescent="0.2">
      <c r="B71" s="921" t="s">
        <v>245</v>
      </c>
      <c r="C71" s="919" t="s">
        <v>1338</v>
      </c>
    </row>
    <row r="72" spans="2:3" ht="12.75" x14ac:dyDescent="0.2">
      <c r="B72" s="921" t="s">
        <v>189</v>
      </c>
      <c r="C72" s="919" t="s">
        <v>1338</v>
      </c>
    </row>
    <row r="73" spans="2:3" ht="12.75" x14ac:dyDescent="0.2">
      <c r="B73" s="921" t="s">
        <v>246</v>
      </c>
      <c r="C73" s="919" t="s">
        <v>1338</v>
      </c>
    </row>
    <row r="74" spans="2:3" ht="12.75" x14ac:dyDescent="0.2">
      <c r="B74" s="921" t="s">
        <v>247</v>
      </c>
      <c r="C74" s="919" t="s">
        <v>1338</v>
      </c>
    </row>
    <row r="75" spans="2:3" ht="12.75" x14ac:dyDescent="0.2">
      <c r="B75" s="921" t="s">
        <v>248</v>
      </c>
      <c r="C75" s="919" t="s">
        <v>1338</v>
      </c>
    </row>
    <row r="76" spans="2:3" ht="12.75" x14ac:dyDescent="0.2">
      <c r="B76" s="921" t="s">
        <v>249</v>
      </c>
      <c r="C76" s="919" t="s">
        <v>1338</v>
      </c>
    </row>
    <row r="77" spans="2:3" ht="12.75" x14ac:dyDescent="0.2">
      <c r="B77" s="921" t="s">
        <v>250</v>
      </c>
      <c r="C77" s="919" t="s">
        <v>1338</v>
      </c>
    </row>
    <row r="78" spans="2:3" ht="12.75" x14ac:dyDescent="0.2">
      <c r="B78" s="921" t="s">
        <v>190</v>
      </c>
      <c r="C78" s="919" t="s">
        <v>1338</v>
      </c>
    </row>
    <row r="79" spans="2:3" ht="12.75" x14ac:dyDescent="0.2">
      <c r="B79" s="921" t="s">
        <v>251</v>
      </c>
      <c r="C79" s="919" t="s">
        <v>1338</v>
      </c>
    </row>
    <row r="80" spans="2:3" ht="12.75" x14ac:dyDescent="0.2">
      <c r="B80" s="921" t="s">
        <v>252</v>
      </c>
      <c r="C80" s="919" t="s">
        <v>1338</v>
      </c>
    </row>
    <row r="81" spans="2:3" ht="12.75" x14ac:dyDescent="0.2">
      <c r="B81" s="921" t="s">
        <v>253</v>
      </c>
      <c r="C81" s="919" t="s">
        <v>1338</v>
      </c>
    </row>
    <row r="82" spans="2:3" ht="12.75" x14ac:dyDescent="0.2">
      <c r="B82" s="921" t="s">
        <v>254</v>
      </c>
      <c r="C82" s="919" t="s">
        <v>1338</v>
      </c>
    </row>
    <row r="83" spans="2:3" ht="12.75" x14ac:dyDescent="0.2">
      <c r="B83" s="921" t="s">
        <v>255</v>
      </c>
      <c r="C83" s="919" t="s">
        <v>1338</v>
      </c>
    </row>
    <row r="84" spans="2:3" ht="12.75" x14ac:dyDescent="0.2">
      <c r="B84" s="921" t="s">
        <v>1064</v>
      </c>
      <c r="C84" s="919" t="s">
        <v>1338</v>
      </c>
    </row>
    <row r="85" spans="2:3" ht="12.75" x14ac:dyDescent="0.2">
      <c r="B85" s="921" t="s">
        <v>191</v>
      </c>
      <c r="C85" s="919" t="s">
        <v>1338</v>
      </c>
    </row>
    <row r="86" spans="2:3" ht="12.75" x14ac:dyDescent="0.2">
      <c r="B86" s="921" t="s">
        <v>256</v>
      </c>
      <c r="C86" s="919" t="s">
        <v>1338</v>
      </c>
    </row>
    <row r="87" spans="2:3" ht="12.75" x14ac:dyDescent="0.2">
      <c r="B87" s="921" t="s">
        <v>257</v>
      </c>
      <c r="C87" s="919" t="s">
        <v>1338</v>
      </c>
    </row>
    <row r="88" spans="2:3" ht="12.75" x14ac:dyDescent="0.2">
      <c r="B88" s="921" t="s">
        <v>258</v>
      </c>
      <c r="C88" s="919" t="s">
        <v>1338</v>
      </c>
    </row>
    <row r="89" spans="2:3" ht="12.75" x14ac:dyDescent="0.2">
      <c r="B89" s="921" t="s">
        <v>259</v>
      </c>
      <c r="C89" s="919" t="s">
        <v>1338</v>
      </c>
    </row>
    <row r="90" spans="2:3" ht="12.75" x14ac:dyDescent="0.2">
      <c r="B90" s="921" t="s">
        <v>192</v>
      </c>
      <c r="C90" s="919" t="s">
        <v>1338</v>
      </c>
    </row>
    <row r="91" spans="2:3" ht="12.75" x14ac:dyDescent="0.2">
      <c r="B91" s="921" t="s">
        <v>1339</v>
      </c>
      <c r="C91" s="919" t="s">
        <v>1340</v>
      </c>
    </row>
    <row r="92" spans="2:3" ht="12.75" x14ac:dyDescent="0.2">
      <c r="B92" s="921" t="s">
        <v>1070</v>
      </c>
      <c r="C92" s="919" t="s">
        <v>1340</v>
      </c>
    </row>
    <row r="93" spans="2:3" ht="12.75" x14ac:dyDescent="0.2">
      <c r="B93" s="921" t="s">
        <v>1071</v>
      </c>
      <c r="C93" s="919" t="s">
        <v>1340</v>
      </c>
    </row>
    <row r="94" spans="2:3" ht="12.75" x14ac:dyDescent="0.2">
      <c r="B94" s="921" t="s">
        <v>260</v>
      </c>
      <c r="C94" s="919" t="s">
        <v>1340</v>
      </c>
    </row>
    <row r="95" spans="2:3" ht="12.75" x14ac:dyDescent="0.2">
      <c r="B95" s="921" t="s">
        <v>261</v>
      </c>
      <c r="C95" s="919" t="s">
        <v>1340</v>
      </c>
    </row>
    <row r="96" spans="2:3" ht="12.75" x14ac:dyDescent="0.2">
      <c r="B96" s="921" t="s">
        <v>262</v>
      </c>
      <c r="C96" s="919" t="s">
        <v>1340</v>
      </c>
    </row>
    <row r="97" spans="2:3" ht="12.75" x14ac:dyDescent="0.2">
      <c r="B97" s="921" t="s">
        <v>213</v>
      </c>
      <c r="C97" s="919" t="s">
        <v>1340</v>
      </c>
    </row>
    <row r="98" spans="2:3" ht="12.75" x14ac:dyDescent="0.2">
      <c r="B98" s="921" t="s">
        <v>263</v>
      </c>
      <c r="C98" s="919" t="s">
        <v>1340</v>
      </c>
    </row>
    <row r="99" spans="2:3" ht="12.75" x14ac:dyDescent="0.2">
      <c r="B99" s="921" t="s">
        <v>977</v>
      </c>
      <c r="C99" s="919" t="s">
        <v>1340</v>
      </c>
    </row>
    <row r="100" spans="2:3" ht="12.75" x14ac:dyDescent="0.2">
      <c r="B100" s="946" t="s">
        <v>1341</v>
      </c>
      <c r="C100" s="919" t="s">
        <v>1340</v>
      </c>
    </row>
    <row r="101" spans="2:3" ht="12.75" x14ac:dyDescent="0.2">
      <c r="B101" s="921" t="s">
        <v>215</v>
      </c>
      <c r="C101" s="919" t="s">
        <v>1340</v>
      </c>
    </row>
    <row r="102" spans="2:3" ht="12.75" x14ac:dyDescent="0.2">
      <c r="B102" s="921" t="s">
        <v>1072</v>
      </c>
      <c r="C102" s="919" t="s">
        <v>1342</v>
      </c>
    </row>
    <row r="103" spans="2:3" ht="12.75" x14ac:dyDescent="0.2">
      <c r="B103" s="921" t="s">
        <v>264</v>
      </c>
      <c r="C103" s="919" t="s">
        <v>1342</v>
      </c>
    </row>
    <row r="104" spans="2:3" ht="12.75" x14ac:dyDescent="0.2">
      <c r="B104" s="921" t="s">
        <v>265</v>
      </c>
      <c r="C104" s="944" t="s">
        <v>1342</v>
      </c>
    </row>
    <row r="105" spans="2:3" ht="12.75" x14ac:dyDescent="0.2">
      <c r="B105" s="921" t="s">
        <v>266</v>
      </c>
      <c r="C105" s="944" t="s">
        <v>1342</v>
      </c>
    </row>
    <row r="106" spans="2:3" ht="12.75" x14ac:dyDescent="0.2">
      <c r="B106" s="921" t="s">
        <v>1114</v>
      </c>
      <c r="C106" s="944" t="s">
        <v>1342</v>
      </c>
    </row>
    <row r="107" spans="2:3" ht="12.75" x14ac:dyDescent="0.2">
      <c r="B107" s="921" t="s">
        <v>193</v>
      </c>
      <c r="C107" s="944" t="s">
        <v>1342</v>
      </c>
    </row>
    <row r="108" spans="2:3" ht="12.75" x14ac:dyDescent="0.2">
      <c r="B108" s="921" t="s">
        <v>267</v>
      </c>
      <c r="C108" s="944" t="s">
        <v>1342</v>
      </c>
    </row>
    <row r="109" spans="2:3" ht="12.75" x14ac:dyDescent="0.2">
      <c r="B109" s="921" t="s">
        <v>268</v>
      </c>
      <c r="C109" s="944" t="s">
        <v>1342</v>
      </c>
    </row>
    <row r="110" spans="2:3" ht="12.75" x14ac:dyDescent="0.2">
      <c r="B110" s="921" t="s">
        <v>269</v>
      </c>
      <c r="C110" s="944" t="s">
        <v>1342</v>
      </c>
    </row>
    <row r="111" spans="2:3" ht="12.75" x14ac:dyDescent="0.2">
      <c r="B111" s="921" t="s">
        <v>270</v>
      </c>
      <c r="C111" s="944" t="s">
        <v>1342</v>
      </c>
    </row>
    <row r="112" spans="2:3" ht="12.75" x14ac:dyDescent="0.2">
      <c r="B112" s="921" t="s">
        <v>271</v>
      </c>
      <c r="C112" s="944" t="s">
        <v>1342</v>
      </c>
    </row>
    <row r="113" spans="2:3" ht="12.75" x14ac:dyDescent="0.2">
      <c r="B113" s="921" t="s">
        <v>272</v>
      </c>
      <c r="C113" s="944" t="s">
        <v>1342</v>
      </c>
    </row>
    <row r="114" spans="2:3" ht="12.75" x14ac:dyDescent="0.2">
      <c r="B114" s="921" t="s">
        <v>273</v>
      </c>
      <c r="C114" s="944" t="s">
        <v>1342</v>
      </c>
    </row>
    <row r="115" spans="2:3" ht="12.75" x14ac:dyDescent="0.2">
      <c r="B115" s="921" t="s">
        <v>194</v>
      </c>
      <c r="C115" s="944" t="s">
        <v>1342</v>
      </c>
    </row>
    <row r="116" spans="2:3" ht="12.75" x14ac:dyDescent="0.2">
      <c r="B116" s="921" t="s">
        <v>274</v>
      </c>
      <c r="C116" s="944" t="s">
        <v>1342</v>
      </c>
    </row>
    <row r="117" spans="2:3" ht="12.75" x14ac:dyDescent="0.2">
      <c r="B117" s="946" t="s">
        <v>1109</v>
      </c>
      <c r="C117" s="944" t="s">
        <v>1342</v>
      </c>
    </row>
    <row r="118" spans="2:3" ht="12.75" x14ac:dyDescent="0.2">
      <c r="B118" s="946" t="s">
        <v>1110</v>
      </c>
      <c r="C118" s="944" t="s">
        <v>1342</v>
      </c>
    </row>
    <row r="119" spans="2:3" ht="12.75" x14ac:dyDescent="0.2">
      <c r="B119" s="921" t="s">
        <v>195</v>
      </c>
      <c r="C119" s="944" t="s">
        <v>1342</v>
      </c>
    </row>
    <row r="120" spans="2:3" ht="12.75" x14ac:dyDescent="0.2">
      <c r="B120" s="921" t="s">
        <v>275</v>
      </c>
      <c r="C120" s="944" t="s">
        <v>1342</v>
      </c>
    </row>
    <row r="121" spans="2:3" ht="12.75" x14ac:dyDescent="0.2">
      <c r="B121" s="921" t="s">
        <v>276</v>
      </c>
      <c r="C121" s="944" t="s">
        <v>1342</v>
      </c>
    </row>
    <row r="122" spans="2:3" ht="12.75" x14ac:dyDescent="0.2">
      <c r="B122" s="921" t="s">
        <v>277</v>
      </c>
      <c r="C122" s="944" t="s">
        <v>1342</v>
      </c>
    </row>
    <row r="123" spans="2:3" ht="12.75" x14ac:dyDescent="0.2">
      <c r="B123" s="921" t="s">
        <v>279</v>
      </c>
      <c r="C123" s="944" t="s">
        <v>1342</v>
      </c>
    </row>
    <row r="124" spans="2:3" ht="12.75" x14ac:dyDescent="0.2">
      <c r="B124" s="921" t="s">
        <v>196</v>
      </c>
      <c r="C124" s="919" t="s">
        <v>1342</v>
      </c>
    </row>
    <row r="125" spans="2:3" ht="12.75" x14ac:dyDescent="0.2">
      <c r="B125" s="921" t="s">
        <v>280</v>
      </c>
      <c r="C125" s="919" t="s">
        <v>1342</v>
      </c>
    </row>
    <row r="126" spans="2:3" ht="12.75" x14ac:dyDescent="0.2">
      <c r="B126" s="921" t="s">
        <v>1343</v>
      </c>
      <c r="C126" s="919" t="s">
        <v>1342</v>
      </c>
    </row>
    <row r="127" spans="2:3" ht="12.75" x14ac:dyDescent="0.2">
      <c r="B127" s="921" t="s">
        <v>281</v>
      </c>
      <c r="C127" s="919" t="s">
        <v>1342</v>
      </c>
    </row>
    <row r="128" spans="2:3" ht="12.75" x14ac:dyDescent="0.2">
      <c r="B128" s="921" t="s">
        <v>197</v>
      </c>
      <c r="C128" s="919" t="s">
        <v>1342</v>
      </c>
    </row>
    <row r="129" spans="2:3" ht="12.75" x14ac:dyDescent="0.2">
      <c r="B129" s="921" t="s">
        <v>282</v>
      </c>
      <c r="C129" s="919" t="s">
        <v>1342</v>
      </c>
    </row>
    <row r="130" spans="2:3" ht="12.75" x14ac:dyDescent="0.2">
      <c r="B130" s="921" t="s">
        <v>283</v>
      </c>
      <c r="C130" s="919" t="s">
        <v>1342</v>
      </c>
    </row>
    <row r="131" spans="2:3" ht="12.75" x14ac:dyDescent="0.2">
      <c r="B131" s="921" t="s">
        <v>284</v>
      </c>
      <c r="C131" s="919" t="s">
        <v>1342</v>
      </c>
    </row>
    <row r="132" spans="2:3" ht="12.75" x14ac:dyDescent="0.2">
      <c r="B132" s="921" t="s">
        <v>285</v>
      </c>
      <c r="C132" s="919" t="s">
        <v>1342</v>
      </c>
    </row>
    <row r="133" spans="2:3" ht="12.75" x14ac:dyDescent="0.2">
      <c r="B133" s="921" t="s">
        <v>286</v>
      </c>
      <c r="C133" s="919" t="s">
        <v>1342</v>
      </c>
    </row>
    <row r="134" spans="2:3" ht="12.75" x14ac:dyDescent="0.2">
      <c r="B134" s="921" t="s">
        <v>198</v>
      </c>
      <c r="C134" s="891" t="s">
        <v>1342</v>
      </c>
    </row>
    <row r="135" spans="2:3" ht="12.75" x14ac:dyDescent="0.2">
      <c r="B135" s="921" t="s">
        <v>287</v>
      </c>
      <c r="C135" s="891" t="s">
        <v>1342</v>
      </c>
    </row>
    <row r="136" spans="2:3" ht="12.75" x14ac:dyDescent="0.2">
      <c r="B136" s="921" t="s">
        <v>288</v>
      </c>
      <c r="C136" s="891" t="s">
        <v>1342</v>
      </c>
    </row>
    <row r="137" spans="2:3" ht="12.75" x14ac:dyDescent="0.2">
      <c r="B137" s="921" t="s">
        <v>289</v>
      </c>
      <c r="C137" s="891" t="s">
        <v>1342</v>
      </c>
    </row>
    <row r="138" spans="2:3" ht="12.75" x14ac:dyDescent="0.2">
      <c r="B138" s="946" t="s">
        <v>1344</v>
      </c>
      <c r="C138" s="891" t="s">
        <v>1342</v>
      </c>
    </row>
    <row r="139" spans="2:3" ht="12.75" x14ac:dyDescent="0.2">
      <c r="B139" s="921" t="s">
        <v>199</v>
      </c>
      <c r="C139" s="891" t="s">
        <v>1342</v>
      </c>
    </row>
    <row r="140" spans="2:3" ht="12.75" x14ac:dyDescent="0.2">
      <c r="B140" s="921" t="s">
        <v>978</v>
      </c>
      <c r="C140" s="891" t="s">
        <v>1342</v>
      </c>
    </row>
    <row r="141" spans="2:3" ht="12.75" x14ac:dyDescent="0.2">
      <c r="B141" s="921" t="s">
        <v>290</v>
      </c>
      <c r="C141" s="891" t="s">
        <v>1342</v>
      </c>
    </row>
    <row r="142" spans="2:3" ht="12.75" x14ac:dyDescent="0.2">
      <c r="B142" s="921" t="s">
        <v>979</v>
      </c>
      <c r="C142" s="891" t="s">
        <v>1342</v>
      </c>
    </row>
    <row r="143" spans="2:3" ht="12.75" x14ac:dyDescent="0.2">
      <c r="B143" s="921" t="s">
        <v>291</v>
      </c>
      <c r="C143" s="891" t="s">
        <v>1342</v>
      </c>
    </row>
    <row r="144" spans="2:3" ht="12.75" x14ac:dyDescent="0.2">
      <c r="B144" s="921" t="s">
        <v>292</v>
      </c>
      <c r="C144" s="891" t="s">
        <v>1342</v>
      </c>
    </row>
    <row r="145" spans="2:3" ht="12.75" x14ac:dyDescent="0.2">
      <c r="B145" s="921" t="s">
        <v>1111</v>
      </c>
      <c r="C145" s="891" t="s">
        <v>1342</v>
      </c>
    </row>
    <row r="146" spans="2:3" ht="12.75" x14ac:dyDescent="0.2">
      <c r="B146" s="921" t="s">
        <v>293</v>
      </c>
      <c r="C146" s="891" t="s">
        <v>1342</v>
      </c>
    </row>
    <row r="147" spans="2:3" ht="12.75" x14ac:dyDescent="0.2">
      <c r="B147" s="921" t="s">
        <v>294</v>
      </c>
      <c r="C147" s="891" t="s">
        <v>1342</v>
      </c>
    </row>
    <row r="148" spans="2:3" ht="12.75" x14ac:dyDescent="0.2">
      <c r="B148" s="921" t="s">
        <v>295</v>
      </c>
      <c r="C148" s="891" t="s">
        <v>1342</v>
      </c>
    </row>
    <row r="149" spans="2:3" ht="12.75" x14ac:dyDescent="0.2">
      <c r="B149" s="921" t="s">
        <v>296</v>
      </c>
      <c r="C149" s="891" t="s">
        <v>1342</v>
      </c>
    </row>
    <row r="150" spans="2:3" ht="12.75" x14ac:dyDescent="0.2">
      <c r="B150" s="921" t="s">
        <v>200</v>
      </c>
      <c r="C150" s="891" t="s">
        <v>1342</v>
      </c>
    </row>
    <row r="151" spans="2:3" ht="12.75" x14ac:dyDescent="0.2">
      <c r="B151" s="921" t="s">
        <v>297</v>
      </c>
      <c r="C151" s="891" t="s">
        <v>1342</v>
      </c>
    </row>
    <row r="152" spans="2:3" ht="12.75" x14ac:dyDescent="0.2">
      <c r="B152" s="921" t="s">
        <v>298</v>
      </c>
      <c r="C152" s="891" t="s">
        <v>1342</v>
      </c>
    </row>
    <row r="153" spans="2:3" ht="12.75" x14ac:dyDescent="0.2">
      <c r="B153" s="921" t="s">
        <v>299</v>
      </c>
      <c r="C153" s="891" t="s">
        <v>1342</v>
      </c>
    </row>
    <row r="154" spans="2:3" ht="12.75" x14ac:dyDescent="0.2">
      <c r="B154" s="946" t="s">
        <v>1112</v>
      </c>
      <c r="C154" s="891" t="s">
        <v>1342</v>
      </c>
    </row>
    <row r="155" spans="2:3" ht="12.75" x14ac:dyDescent="0.2">
      <c r="B155" s="921" t="s">
        <v>1103</v>
      </c>
      <c r="C155" s="891" t="s">
        <v>1342</v>
      </c>
    </row>
    <row r="156" spans="2:3" ht="12.75" x14ac:dyDescent="0.2">
      <c r="B156" s="921" t="s">
        <v>300</v>
      </c>
      <c r="C156" s="891" t="s">
        <v>1345</v>
      </c>
    </row>
    <row r="157" spans="2:3" ht="12.75" x14ac:dyDescent="0.2">
      <c r="B157" s="921" t="s">
        <v>301</v>
      </c>
      <c r="C157" s="891" t="s">
        <v>1345</v>
      </c>
    </row>
    <row r="158" spans="2:3" ht="12.75" x14ac:dyDescent="0.2">
      <c r="B158" s="921" t="s">
        <v>302</v>
      </c>
      <c r="C158" s="891" t="s">
        <v>1345</v>
      </c>
    </row>
    <row r="159" spans="2:3" ht="12.75" x14ac:dyDescent="0.2">
      <c r="B159" s="921" t="s">
        <v>303</v>
      </c>
      <c r="C159" s="891" t="s">
        <v>1345</v>
      </c>
    </row>
    <row r="160" spans="2:3" ht="12.75" x14ac:dyDescent="0.2">
      <c r="B160" s="921" t="s">
        <v>304</v>
      </c>
      <c r="C160" s="891" t="s">
        <v>1345</v>
      </c>
    </row>
    <row r="161" spans="2:3" ht="12.75" x14ac:dyDescent="0.2">
      <c r="B161" s="921" t="s">
        <v>205</v>
      </c>
      <c r="C161" s="891" t="s">
        <v>1345</v>
      </c>
    </row>
    <row r="162" spans="2:3" ht="12.75" x14ac:dyDescent="0.2">
      <c r="B162" s="921" t="s">
        <v>305</v>
      </c>
      <c r="C162" s="891" t="s">
        <v>1345</v>
      </c>
    </row>
    <row r="163" spans="2:3" ht="12.75" x14ac:dyDescent="0.2">
      <c r="B163" s="921" t="s">
        <v>306</v>
      </c>
      <c r="C163" s="891" t="s">
        <v>1345</v>
      </c>
    </row>
    <row r="164" spans="2:3" ht="12.75" x14ac:dyDescent="0.2">
      <c r="B164" s="921" t="s">
        <v>307</v>
      </c>
      <c r="C164" s="891" t="s">
        <v>1345</v>
      </c>
    </row>
    <row r="165" spans="2:3" ht="12.75" x14ac:dyDescent="0.2">
      <c r="B165" s="946" t="s">
        <v>1346</v>
      </c>
      <c r="C165" s="891" t="s">
        <v>1345</v>
      </c>
    </row>
    <row r="166" spans="2:3" ht="12.75" x14ac:dyDescent="0.2">
      <c r="B166" s="921" t="s">
        <v>206</v>
      </c>
      <c r="C166" s="891" t="s">
        <v>1345</v>
      </c>
    </row>
    <row r="167" spans="2:3" ht="12.75" x14ac:dyDescent="0.2">
      <c r="B167" s="921" t="s">
        <v>308</v>
      </c>
      <c r="C167" s="891" t="s">
        <v>1345</v>
      </c>
    </row>
    <row r="168" spans="2:3" ht="12.75" x14ac:dyDescent="0.2">
      <c r="B168" s="921" t="s">
        <v>309</v>
      </c>
      <c r="C168" s="891" t="s">
        <v>1345</v>
      </c>
    </row>
    <row r="169" spans="2:3" ht="12.75" x14ac:dyDescent="0.2">
      <c r="B169" s="921" t="s">
        <v>310</v>
      </c>
      <c r="C169" s="891" t="s">
        <v>1345</v>
      </c>
    </row>
    <row r="170" spans="2:3" ht="12.75" x14ac:dyDescent="0.2">
      <c r="B170" s="921" t="s">
        <v>311</v>
      </c>
      <c r="C170" s="891" t="s">
        <v>1345</v>
      </c>
    </row>
    <row r="171" spans="2:3" ht="12.75" x14ac:dyDescent="0.2">
      <c r="B171" s="921" t="s">
        <v>207</v>
      </c>
      <c r="C171" s="891" t="s">
        <v>1345</v>
      </c>
    </row>
    <row r="172" spans="2:3" ht="12.75" x14ac:dyDescent="0.2">
      <c r="B172" s="921" t="s">
        <v>312</v>
      </c>
      <c r="C172" s="891" t="s">
        <v>1345</v>
      </c>
    </row>
    <row r="173" spans="2:3" ht="12.75" x14ac:dyDescent="0.2">
      <c r="B173" s="921" t="s">
        <v>313</v>
      </c>
      <c r="C173" s="891" t="s">
        <v>1345</v>
      </c>
    </row>
    <row r="174" spans="2:3" ht="12.75" x14ac:dyDescent="0.2">
      <c r="B174" s="921" t="s">
        <v>314</v>
      </c>
      <c r="C174" s="891" t="s">
        <v>1345</v>
      </c>
    </row>
    <row r="175" spans="2:3" ht="12.75" x14ac:dyDescent="0.2">
      <c r="B175" s="921" t="s">
        <v>315</v>
      </c>
      <c r="C175" s="891" t="s">
        <v>1345</v>
      </c>
    </row>
    <row r="176" spans="2:3" ht="12.75" x14ac:dyDescent="0.2">
      <c r="B176" s="946" t="s">
        <v>1347</v>
      </c>
      <c r="C176" s="891" t="s">
        <v>1345</v>
      </c>
    </row>
    <row r="177" spans="2:3" ht="12.75" x14ac:dyDescent="0.2">
      <c r="B177" s="921" t="s">
        <v>208</v>
      </c>
      <c r="C177" s="891" t="s">
        <v>1345</v>
      </c>
    </row>
    <row r="178" spans="2:3" ht="12.75" x14ac:dyDescent="0.2">
      <c r="B178" s="921" t="s">
        <v>980</v>
      </c>
      <c r="C178" s="919" t="s">
        <v>1345</v>
      </c>
    </row>
    <row r="179" spans="2:3" ht="12.75" x14ac:dyDescent="0.2">
      <c r="B179" s="921" t="s">
        <v>316</v>
      </c>
      <c r="C179" s="919" t="s">
        <v>1345</v>
      </c>
    </row>
    <row r="180" spans="2:3" ht="12.75" x14ac:dyDescent="0.2">
      <c r="B180" s="921" t="s">
        <v>981</v>
      </c>
      <c r="C180" s="919" t="s">
        <v>1345</v>
      </c>
    </row>
    <row r="181" spans="2:3" ht="12.75" x14ac:dyDescent="0.2">
      <c r="B181" s="946" t="s">
        <v>1348</v>
      </c>
      <c r="C181" s="919" t="s">
        <v>1345</v>
      </c>
    </row>
    <row r="182" spans="2:3" ht="12.75" x14ac:dyDescent="0.2">
      <c r="B182" s="921" t="s">
        <v>1060</v>
      </c>
      <c r="C182" s="919" t="s">
        <v>1345</v>
      </c>
    </row>
    <row r="183" spans="2:3" ht="12.75" x14ac:dyDescent="0.2">
      <c r="B183" s="921" t="s">
        <v>317</v>
      </c>
      <c r="C183" s="919" t="s">
        <v>1349</v>
      </c>
    </row>
    <row r="184" spans="2:3" ht="12.75" x14ac:dyDescent="0.2">
      <c r="B184" s="921" t="s">
        <v>318</v>
      </c>
      <c r="C184" s="919" t="s">
        <v>1349</v>
      </c>
    </row>
    <row r="185" spans="2:3" ht="12.75" x14ac:dyDescent="0.2">
      <c r="B185" s="921" t="s">
        <v>319</v>
      </c>
      <c r="C185" s="919" t="s">
        <v>1349</v>
      </c>
    </row>
    <row r="186" spans="2:3" ht="12.75" x14ac:dyDescent="0.2">
      <c r="B186" s="921" t="s">
        <v>982</v>
      </c>
      <c r="C186" s="919" t="s">
        <v>1349</v>
      </c>
    </row>
    <row r="187" spans="2:3" ht="12.75" x14ac:dyDescent="0.2">
      <c r="B187" s="921" t="s">
        <v>320</v>
      </c>
      <c r="C187" s="919" t="s">
        <v>1349</v>
      </c>
    </row>
    <row r="188" spans="2:3" ht="12.75" x14ac:dyDescent="0.2">
      <c r="B188" s="921" t="s">
        <v>321</v>
      </c>
      <c r="C188" s="919" t="s">
        <v>1349</v>
      </c>
    </row>
    <row r="189" spans="2:3" ht="12.75" x14ac:dyDescent="0.2">
      <c r="B189" s="921" t="s">
        <v>322</v>
      </c>
      <c r="C189" s="919" t="s">
        <v>1349</v>
      </c>
    </row>
    <row r="190" spans="2:3" ht="12.75" x14ac:dyDescent="0.2">
      <c r="B190" s="921" t="s">
        <v>202</v>
      </c>
      <c r="C190" s="919" t="s">
        <v>1349</v>
      </c>
    </row>
    <row r="191" spans="2:3" ht="12.75" x14ac:dyDescent="0.2">
      <c r="B191" s="921" t="s">
        <v>983</v>
      </c>
      <c r="C191" s="919" t="s">
        <v>1349</v>
      </c>
    </row>
    <row r="192" spans="2:3" ht="12.75" x14ac:dyDescent="0.2">
      <c r="B192" s="921" t="s">
        <v>1065</v>
      </c>
      <c r="C192" s="919" t="s">
        <v>1349</v>
      </c>
    </row>
    <row r="193" spans="2:3" ht="12.75" x14ac:dyDescent="0.2">
      <c r="B193" s="921" t="s">
        <v>323</v>
      </c>
      <c r="C193" s="919" t="s">
        <v>1349</v>
      </c>
    </row>
    <row r="194" spans="2:3" ht="12.75" x14ac:dyDescent="0.2">
      <c r="B194" s="921" t="s">
        <v>324</v>
      </c>
      <c r="C194" s="919" t="s">
        <v>1349</v>
      </c>
    </row>
    <row r="195" spans="2:3" ht="12.75" x14ac:dyDescent="0.2">
      <c r="B195" s="921" t="s">
        <v>1066</v>
      </c>
      <c r="C195" s="919" t="s">
        <v>1349</v>
      </c>
    </row>
    <row r="196" spans="2:3" ht="12.75" x14ac:dyDescent="0.2">
      <c r="B196" s="921" t="s">
        <v>325</v>
      </c>
      <c r="C196" s="919" t="s">
        <v>1349</v>
      </c>
    </row>
    <row r="197" spans="2:3" ht="12.75" x14ac:dyDescent="0.2">
      <c r="B197" s="921" t="s">
        <v>203</v>
      </c>
      <c r="C197" s="919" t="s">
        <v>1349</v>
      </c>
    </row>
    <row r="198" spans="2:3" ht="12.75" x14ac:dyDescent="0.2">
      <c r="B198" s="921" t="s">
        <v>326</v>
      </c>
      <c r="C198" s="919" t="s">
        <v>1349</v>
      </c>
    </row>
    <row r="199" spans="2:3" ht="12.75" x14ac:dyDescent="0.2">
      <c r="B199" s="921" t="s">
        <v>327</v>
      </c>
      <c r="C199" s="919" t="s">
        <v>1349</v>
      </c>
    </row>
    <row r="200" spans="2:3" ht="12.75" x14ac:dyDescent="0.2">
      <c r="B200" s="921" t="s">
        <v>328</v>
      </c>
      <c r="C200" s="919" t="s">
        <v>1349</v>
      </c>
    </row>
    <row r="201" spans="2:3" ht="12.75" x14ac:dyDescent="0.2">
      <c r="B201" s="946" t="s">
        <v>1113</v>
      </c>
      <c r="C201" s="919" t="s">
        <v>1349</v>
      </c>
    </row>
    <row r="202" spans="2:3" ht="12.75" x14ac:dyDescent="0.2">
      <c r="B202" s="921" t="s">
        <v>204</v>
      </c>
      <c r="C202" s="919" t="s">
        <v>1349</v>
      </c>
    </row>
    <row r="203" spans="2:3" ht="12.75" x14ac:dyDescent="0.2">
      <c r="B203" s="921" t="s">
        <v>984</v>
      </c>
      <c r="C203" s="919" t="s">
        <v>1350</v>
      </c>
    </row>
    <row r="204" spans="2:3" ht="12.75" x14ac:dyDescent="0.2">
      <c r="B204" s="921" t="s">
        <v>385</v>
      </c>
      <c r="C204" s="919" t="s">
        <v>1350</v>
      </c>
    </row>
    <row r="205" spans="2:3" ht="12.75" x14ac:dyDescent="0.2">
      <c r="B205" s="921" t="s">
        <v>386</v>
      </c>
      <c r="C205" s="919" t="s">
        <v>1350</v>
      </c>
    </row>
    <row r="206" spans="2:3" ht="12.75" x14ac:dyDescent="0.2">
      <c r="B206" s="921" t="s">
        <v>975</v>
      </c>
      <c r="C206" s="919" t="s">
        <v>1350</v>
      </c>
    </row>
    <row r="207" spans="2:3" ht="12.75" x14ac:dyDescent="0.2">
      <c r="B207" s="921" t="s">
        <v>329</v>
      </c>
      <c r="C207" s="919" t="s">
        <v>1350</v>
      </c>
    </row>
    <row r="208" spans="2:3" ht="12.75" x14ac:dyDescent="0.2">
      <c r="B208" s="921" t="s">
        <v>330</v>
      </c>
      <c r="C208" s="919" t="s">
        <v>1350</v>
      </c>
    </row>
    <row r="209" spans="2:3" ht="12.75" x14ac:dyDescent="0.2">
      <c r="B209" s="921" t="s">
        <v>331</v>
      </c>
      <c r="C209" s="919" t="s">
        <v>1350</v>
      </c>
    </row>
    <row r="210" spans="2:3" ht="12.75" x14ac:dyDescent="0.2">
      <c r="B210" s="921" t="s">
        <v>332</v>
      </c>
      <c r="C210" s="919" t="s">
        <v>1350</v>
      </c>
    </row>
    <row r="211" spans="2:3" ht="12.75" x14ac:dyDescent="0.2">
      <c r="B211" s="921" t="s">
        <v>333</v>
      </c>
      <c r="C211" s="919" t="s">
        <v>1350</v>
      </c>
    </row>
    <row r="212" spans="2:3" ht="12.75" x14ac:dyDescent="0.2">
      <c r="B212" s="921" t="s">
        <v>334</v>
      </c>
      <c r="C212" s="919" t="s">
        <v>1350</v>
      </c>
    </row>
    <row r="213" spans="2:3" ht="12.75" x14ac:dyDescent="0.2">
      <c r="B213" s="921" t="s">
        <v>217</v>
      </c>
      <c r="C213" s="919" t="s">
        <v>1350</v>
      </c>
    </row>
    <row r="214" spans="2:3" ht="12.75" x14ac:dyDescent="0.2">
      <c r="B214" s="921" t="s">
        <v>335</v>
      </c>
      <c r="C214" s="919" t="s">
        <v>1350</v>
      </c>
    </row>
    <row r="215" spans="2:3" ht="12.75" x14ac:dyDescent="0.2">
      <c r="B215" s="921" t="s">
        <v>336</v>
      </c>
      <c r="C215" s="919" t="s">
        <v>1350</v>
      </c>
    </row>
    <row r="216" spans="2:3" ht="12.75" x14ac:dyDescent="0.2">
      <c r="B216" s="921" t="s">
        <v>337</v>
      </c>
      <c r="C216" s="919" t="s">
        <v>1350</v>
      </c>
    </row>
    <row r="217" spans="2:3" ht="12.75" x14ac:dyDescent="0.2">
      <c r="B217" s="921" t="s">
        <v>372</v>
      </c>
      <c r="C217" s="919" t="s">
        <v>1350</v>
      </c>
    </row>
    <row r="218" spans="2:3" ht="12.75" x14ac:dyDescent="0.2">
      <c r="B218" s="921" t="s">
        <v>373</v>
      </c>
      <c r="C218" s="919" t="s">
        <v>1350</v>
      </c>
    </row>
    <row r="219" spans="2:3" ht="12.75" x14ac:dyDescent="0.2">
      <c r="B219" s="921" t="s">
        <v>374</v>
      </c>
      <c r="C219" s="919" t="s">
        <v>1350</v>
      </c>
    </row>
    <row r="220" spans="2:3" ht="12.75" x14ac:dyDescent="0.2">
      <c r="B220" s="921" t="s">
        <v>375</v>
      </c>
      <c r="C220" s="919" t="s">
        <v>1350</v>
      </c>
    </row>
    <row r="221" spans="2:3" ht="12.75" x14ac:dyDescent="0.2">
      <c r="B221" s="921" t="s">
        <v>376</v>
      </c>
      <c r="C221" s="919" t="s">
        <v>1350</v>
      </c>
    </row>
    <row r="222" spans="2:3" ht="12.75" x14ac:dyDescent="0.2">
      <c r="B222" s="921" t="s">
        <v>1061</v>
      </c>
      <c r="C222" s="919" t="s">
        <v>1350</v>
      </c>
    </row>
    <row r="223" spans="2:3" ht="12.75" x14ac:dyDescent="0.2">
      <c r="B223" s="921" t="s">
        <v>377</v>
      </c>
      <c r="C223" s="919" t="s">
        <v>1350</v>
      </c>
    </row>
    <row r="224" spans="2:3" ht="12.75" x14ac:dyDescent="0.2">
      <c r="B224" s="921" t="s">
        <v>378</v>
      </c>
      <c r="C224" s="919" t="s">
        <v>1350</v>
      </c>
    </row>
    <row r="225" spans="2:3" ht="12.75" x14ac:dyDescent="0.2">
      <c r="B225" s="921" t="s">
        <v>379</v>
      </c>
      <c r="C225" s="919" t="s">
        <v>1350</v>
      </c>
    </row>
    <row r="226" spans="2:3" ht="12.75" x14ac:dyDescent="0.2">
      <c r="B226" s="921" t="s">
        <v>380</v>
      </c>
      <c r="C226" s="919" t="s">
        <v>1350</v>
      </c>
    </row>
    <row r="227" spans="2:3" ht="12.75" x14ac:dyDescent="0.2">
      <c r="B227" s="946" t="s">
        <v>1351</v>
      </c>
      <c r="C227" s="919" t="s">
        <v>1350</v>
      </c>
    </row>
    <row r="228" spans="2:3" ht="12.75" x14ac:dyDescent="0.2">
      <c r="B228" s="921" t="s">
        <v>1104</v>
      </c>
      <c r="C228" s="919" t="s">
        <v>1350</v>
      </c>
    </row>
    <row r="229" spans="2:3" ht="12.75" x14ac:dyDescent="0.2">
      <c r="B229" s="921" t="s">
        <v>381</v>
      </c>
      <c r="C229" s="919" t="s">
        <v>1350</v>
      </c>
    </row>
    <row r="230" spans="2:3" ht="12.75" x14ac:dyDescent="0.2">
      <c r="B230" s="921" t="s">
        <v>382</v>
      </c>
      <c r="C230" s="919" t="s">
        <v>1350</v>
      </c>
    </row>
    <row r="231" spans="2:3" ht="12.75" x14ac:dyDescent="0.2">
      <c r="B231" s="921" t="s">
        <v>383</v>
      </c>
      <c r="C231" s="919" t="s">
        <v>1350</v>
      </c>
    </row>
    <row r="232" spans="2:3" ht="12.75" x14ac:dyDescent="0.2">
      <c r="B232" s="921" t="s">
        <v>384</v>
      </c>
      <c r="C232" s="919" t="s">
        <v>1350</v>
      </c>
    </row>
    <row r="233" spans="2:3" ht="12.75" x14ac:dyDescent="0.2">
      <c r="B233" s="921" t="s">
        <v>218</v>
      </c>
      <c r="C233" s="919" t="s">
        <v>1350</v>
      </c>
    </row>
    <row r="234" spans="2:3" ht="12.75" x14ac:dyDescent="0.2">
      <c r="B234" s="921" t="s">
        <v>387</v>
      </c>
      <c r="C234" s="919" t="s">
        <v>1352</v>
      </c>
    </row>
    <row r="235" spans="2:3" ht="12.75" x14ac:dyDescent="0.2">
      <c r="B235" s="921" t="s">
        <v>388</v>
      </c>
      <c r="C235" s="919" t="s">
        <v>1352</v>
      </c>
    </row>
    <row r="236" spans="2:3" ht="12.75" x14ac:dyDescent="0.2">
      <c r="B236" s="921" t="s">
        <v>389</v>
      </c>
      <c r="C236" s="919" t="s">
        <v>1352</v>
      </c>
    </row>
    <row r="237" spans="2:3" ht="12.75" x14ac:dyDescent="0.2">
      <c r="B237" s="921" t="s">
        <v>390</v>
      </c>
      <c r="C237" s="919" t="s">
        <v>1352</v>
      </c>
    </row>
    <row r="238" spans="2:3" ht="12.75" x14ac:dyDescent="0.2">
      <c r="B238" s="921" t="s">
        <v>391</v>
      </c>
      <c r="C238" s="919" t="s">
        <v>1352</v>
      </c>
    </row>
    <row r="239" spans="2:3" ht="12.75" x14ac:dyDescent="0.2">
      <c r="B239" s="921" t="s">
        <v>209</v>
      </c>
      <c r="C239" s="919" t="s">
        <v>1352</v>
      </c>
    </row>
    <row r="240" spans="2:3" ht="12.75" x14ac:dyDescent="0.2">
      <c r="B240" s="921" t="s">
        <v>392</v>
      </c>
      <c r="C240" s="919" t="s">
        <v>1352</v>
      </c>
    </row>
    <row r="241" spans="2:3" ht="12.75" x14ac:dyDescent="0.2">
      <c r="B241" s="921" t="s">
        <v>393</v>
      </c>
      <c r="C241" s="919" t="s">
        <v>1352</v>
      </c>
    </row>
    <row r="242" spans="2:3" ht="12.75" x14ac:dyDescent="0.2">
      <c r="B242" s="921" t="s">
        <v>394</v>
      </c>
      <c r="C242" s="919" t="s">
        <v>1352</v>
      </c>
    </row>
    <row r="243" spans="2:3" ht="12.75" x14ac:dyDescent="0.2">
      <c r="B243" s="921" t="s">
        <v>395</v>
      </c>
      <c r="C243" s="919" t="s">
        <v>1352</v>
      </c>
    </row>
    <row r="244" spans="2:3" ht="12.75" x14ac:dyDescent="0.2">
      <c r="B244" s="921" t="s">
        <v>396</v>
      </c>
      <c r="C244" s="919" t="s">
        <v>1352</v>
      </c>
    </row>
    <row r="245" spans="2:3" ht="12.75" x14ac:dyDescent="0.2">
      <c r="B245" s="921" t="s">
        <v>210</v>
      </c>
      <c r="C245" s="919" t="s">
        <v>1352</v>
      </c>
    </row>
    <row r="246" spans="2:3" ht="12.75" x14ac:dyDescent="0.2">
      <c r="B246" s="921" t="s">
        <v>397</v>
      </c>
      <c r="C246" s="919" t="s">
        <v>1352</v>
      </c>
    </row>
    <row r="247" spans="2:3" ht="12.75" x14ac:dyDescent="0.2">
      <c r="B247" s="921" t="s">
        <v>398</v>
      </c>
      <c r="C247" s="919" t="s">
        <v>1352</v>
      </c>
    </row>
    <row r="248" spans="2:3" ht="12.75" x14ac:dyDescent="0.2">
      <c r="B248" s="921" t="s">
        <v>399</v>
      </c>
      <c r="C248" s="919" t="s">
        <v>1352</v>
      </c>
    </row>
    <row r="249" spans="2:3" ht="12.75" x14ac:dyDescent="0.2">
      <c r="B249" s="921" t="s">
        <v>400</v>
      </c>
      <c r="C249" s="919" t="s">
        <v>1352</v>
      </c>
    </row>
    <row r="250" spans="2:3" ht="12.75" x14ac:dyDescent="0.2">
      <c r="B250" s="921" t="s">
        <v>1105</v>
      </c>
      <c r="C250" s="919" t="s">
        <v>1352</v>
      </c>
    </row>
    <row r="251" spans="2:3" ht="12.75" x14ac:dyDescent="0.2">
      <c r="B251" s="921" t="s">
        <v>211</v>
      </c>
      <c r="C251" s="919" t="s">
        <v>1352</v>
      </c>
    </row>
    <row r="252" spans="2:3" ht="12.75" x14ac:dyDescent="0.2">
      <c r="B252" s="921" t="s">
        <v>401</v>
      </c>
      <c r="C252" s="919" t="s">
        <v>1352</v>
      </c>
    </row>
    <row r="253" spans="2:3" ht="12.75" x14ac:dyDescent="0.2">
      <c r="B253" s="921" t="s">
        <v>402</v>
      </c>
      <c r="C253" s="919" t="s">
        <v>1352</v>
      </c>
    </row>
    <row r="254" spans="2:3" ht="12.75" x14ac:dyDescent="0.2">
      <c r="B254" s="946" t="s">
        <v>1353</v>
      </c>
      <c r="C254" s="919" t="s">
        <v>1352</v>
      </c>
    </row>
    <row r="255" spans="2:3" ht="12.75" x14ac:dyDescent="0.2">
      <c r="B255" s="921" t="s">
        <v>212</v>
      </c>
      <c r="C255" s="919" t="s">
        <v>1352</v>
      </c>
    </row>
    <row r="256" spans="2:3" ht="12.75" x14ac:dyDescent="0.2">
      <c r="B256" s="921" t="s">
        <v>1073</v>
      </c>
      <c r="C256" s="919" t="s">
        <v>1354</v>
      </c>
    </row>
    <row r="257" spans="2:3" ht="12.75" x14ac:dyDescent="0.2">
      <c r="B257" s="921" t="s">
        <v>403</v>
      </c>
      <c r="C257" s="919" t="s">
        <v>1354</v>
      </c>
    </row>
    <row r="258" spans="2:3" ht="12.75" x14ac:dyDescent="0.2">
      <c r="B258" s="921" t="s">
        <v>404</v>
      </c>
      <c r="C258" s="919" t="s">
        <v>1354</v>
      </c>
    </row>
    <row r="259" spans="2:3" ht="12.75" x14ac:dyDescent="0.2">
      <c r="B259" s="921" t="s">
        <v>405</v>
      </c>
      <c r="C259" s="919" t="s">
        <v>1354</v>
      </c>
    </row>
    <row r="260" spans="2:3" ht="12.75" x14ac:dyDescent="0.2">
      <c r="B260" s="921" t="s">
        <v>406</v>
      </c>
      <c r="C260" s="919" t="s">
        <v>1354</v>
      </c>
    </row>
    <row r="261" spans="2:3" ht="12.75" x14ac:dyDescent="0.2">
      <c r="B261" s="921" t="s">
        <v>407</v>
      </c>
      <c r="C261" s="919" t="s">
        <v>1354</v>
      </c>
    </row>
    <row r="262" spans="2:3" ht="12.75" x14ac:dyDescent="0.2">
      <c r="B262" s="921" t="s">
        <v>185</v>
      </c>
      <c r="C262" s="919" t="s">
        <v>1354</v>
      </c>
    </row>
    <row r="263" spans="2:3" ht="12.75" x14ac:dyDescent="0.2">
      <c r="B263" s="921" t="s">
        <v>408</v>
      </c>
      <c r="C263" s="919" t="s">
        <v>1354</v>
      </c>
    </row>
    <row r="264" spans="2:3" ht="12.75" x14ac:dyDescent="0.2">
      <c r="B264" s="921" t="s">
        <v>409</v>
      </c>
      <c r="C264" s="919" t="s">
        <v>1354</v>
      </c>
    </row>
    <row r="265" spans="2:3" ht="12.75" x14ac:dyDescent="0.2">
      <c r="B265" s="921" t="s">
        <v>410</v>
      </c>
      <c r="C265" s="919" t="s">
        <v>1354</v>
      </c>
    </row>
    <row r="266" spans="2:3" ht="12.75" x14ac:dyDescent="0.2">
      <c r="B266" s="921" t="s">
        <v>411</v>
      </c>
      <c r="C266" s="919" t="s">
        <v>1354</v>
      </c>
    </row>
    <row r="267" spans="2:3" ht="12.75" x14ac:dyDescent="0.2">
      <c r="B267" s="921" t="s">
        <v>985</v>
      </c>
      <c r="C267" s="919" t="s">
        <v>1354</v>
      </c>
    </row>
    <row r="268" spans="2:3" ht="12.75" x14ac:dyDescent="0.2">
      <c r="B268" s="921" t="s">
        <v>1059</v>
      </c>
      <c r="C268" s="919" t="s">
        <v>1354</v>
      </c>
    </row>
    <row r="269" spans="2:3" ht="12.75" x14ac:dyDescent="0.2">
      <c r="B269" s="921" t="s">
        <v>412</v>
      </c>
      <c r="C269" s="919" t="s">
        <v>1354</v>
      </c>
    </row>
    <row r="270" spans="2:3" ht="12.75" x14ac:dyDescent="0.2">
      <c r="B270" s="921" t="s">
        <v>413</v>
      </c>
      <c r="C270" s="919" t="s">
        <v>1354</v>
      </c>
    </row>
    <row r="271" spans="2:3" ht="12.75" x14ac:dyDescent="0.2">
      <c r="B271" s="921" t="s">
        <v>414</v>
      </c>
      <c r="C271" s="919" t="s">
        <v>1354</v>
      </c>
    </row>
    <row r="272" spans="2:3" ht="12.75" x14ac:dyDescent="0.2">
      <c r="B272" s="921" t="s">
        <v>415</v>
      </c>
      <c r="C272" s="919" t="s">
        <v>1354</v>
      </c>
    </row>
    <row r="273" spans="2:3" ht="12.75" x14ac:dyDescent="0.2">
      <c r="B273" s="921" t="s">
        <v>201</v>
      </c>
      <c r="C273" s="919" t="s">
        <v>1354</v>
      </c>
    </row>
    <row r="274" spans="2:3" ht="12.75" x14ac:dyDescent="0.2">
      <c r="B274" s="921" t="s">
        <v>416</v>
      </c>
      <c r="C274" s="919" t="s">
        <v>1354</v>
      </c>
    </row>
    <row r="275" spans="2:3" ht="12.75" x14ac:dyDescent="0.2">
      <c r="B275" s="921" t="s">
        <v>417</v>
      </c>
      <c r="C275" s="919" t="s">
        <v>1354</v>
      </c>
    </row>
    <row r="276" spans="2:3" ht="12.75" x14ac:dyDescent="0.2">
      <c r="B276" s="921" t="s">
        <v>418</v>
      </c>
      <c r="C276" s="919" t="s">
        <v>1354</v>
      </c>
    </row>
    <row r="277" spans="2:3" ht="12.75" x14ac:dyDescent="0.2">
      <c r="B277" s="921" t="s">
        <v>419</v>
      </c>
      <c r="C277" s="919" t="s">
        <v>1354</v>
      </c>
    </row>
    <row r="278" spans="2:3" ht="12.75" x14ac:dyDescent="0.2">
      <c r="B278" s="921" t="s">
        <v>420</v>
      </c>
      <c r="C278" s="919" t="s">
        <v>1354</v>
      </c>
    </row>
    <row r="279" spans="2:3" ht="12.75" x14ac:dyDescent="0.2">
      <c r="B279" s="921" t="s">
        <v>421</v>
      </c>
      <c r="C279" s="919" t="s">
        <v>1354</v>
      </c>
    </row>
    <row r="280" spans="2:3" ht="12.75" x14ac:dyDescent="0.2">
      <c r="B280" s="921" t="s">
        <v>422</v>
      </c>
      <c r="C280" s="919" t="s">
        <v>1354</v>
      </c>
    </row>
    <row r="281" spans="2:3" ht="12.75" x14ac:dyDescent="0.2">
      <c r="B281" s="921" t="s">
        <v>1355</v>
      </c>
      <c r="C281" s="919" t="s">
        <v>1354</v>
      </c>
    </row>
    <row r="282" spans="2:3" ht="12.75" x14ac:dyDescent="0.2">
      <c r="B282" s="921" t="s">
        <v>423</v>
      </c>
      <c r="C282" s="919" t="s">
        <v>1354</v>
      </c>
    </row>
    <row r="283" spans="2:3" ht="12.75" x14ac:dyDescent="0.2">
      <c r="B283" s="921" t="s">
        <v>424</v>
      </c>
      <c r="C283" s="919" t="s">
        <v>1354</v>
      </c>
    </row>
    <row r="284" spans="2:3" ht="12.75" x14ac:dyDescent="0.2">
      <c r="B284" s="921" t="s">
        <v>425</v>
      </c>
      <c r="C284" s="919" t="s">
        <v>1354</v>
      </c>
    </row>
    <row r="285" spans="2:3" ht="12.75" x14ac:dyDescent="0.2">
      <c r="B285" s="921" t="s">
        <v>216</v>
      </c>
      <c r="C285" s="919" t="s">
        <v>1354</v>
      </c>
    </row>
    <row r="286" spans="2:3" ht="12.75" x14ac:dyDescent="0.2">
      <c r="B286" s="889"/>
      <c r="C286" s="890"/>
    </row>
    <row r="287" spans="2:3" ht="12.75" x14ac:dyDescent="0.2">
      <c r="B287" s="889"/>
      <c r="C287" s="890"/>
    </row>
    <row r="288" spans="2:3" ht="12.75" x14ac:dyDescent="0.2">
      <c r="B288" s="889"/>
      <c r="C288" s="890"/>
    </row>
    <row r="289" spans="2:3" ht="12.75" x14ac:dyDescent="0.2">
      <c r="B289" s="889"/>
      <c r="C289" s="890"/>
    </row>
    <row r="290" spans="2:3" ht="12.75" x14ac:dyDescent="0.2">
      <c r="B290" s="889"/>
      <c r="C290" s="890"/>
    </row>
    <row r="291" spans="2:3" ht="12.75" x14ac:dyDescent="0.2">
      <c r="B291" s="889"/>
      <c r="C291" s="890"/>
    </row>
    <row r="292" spans="2:3" ht="12.75" x14ac:dyDescent="0.2">
      <c r="B292" s="889"/>
      <c r="C292" s="890"/>
    </row>
    <row r="293" spans="2:3" ht="12.75" x14ac:dyDescent="0.2">
      <c r="B293" s="889"/>
      <c r="C293" s="890"/>
    </row>
    <row r="294" spans="2:3" ht="12.75" x14ac:dyDescent="0.2">
      <c r="B294" s="889"/>
      <c r="C294" s="890"/>
    </row>
    <row r="295" spans="2:3" ht="12.75" x14ac:dyDescent="0.2">
      <c r="B295" s="889"/>
      <c r="C295" s="890"/>
    </row>
    <row r="296" spans="2:3" ht="12.75" x14ac:dyDescent="0.2">
      <c r="B296" s="889"/>
      <c r="C296" s="890"/>
    </row>
    <row r="297" spans="2:3" ht="12.75" x14ac:dyDescent="0.2">
      <c r="B297" s="889"/>
      <c r="C297" s="890"/>
    </row>
    <row r="298" spans="2:3" ht="12.75" x14ac:dyDescent="0.2">
      <c r="B298" s="889"/>
      <c r="C298" s="890"/>
    </row>
    <row r="299" spans="2:3" ht="12.75" x14ac:dyDescent="0.2">
      <c r="B299" s="889"/>
      <c r="C299" s="890"/>
    </row>
    <row r="300" spans="2:3" ht="12.75" x14ac:dyDescent="0.2">
      <c r="B300" s="889"/>
      <c r="C300" s="890"/>
    </row>
    <row r="301" spans="2:3" ht="12.75" x14ac:dyDescent="0.2">
      <c r="B301" s="889"/>
      <c r="C301" s="890"/>
    </row>
    <row r="302" spans="2:3" ht="12.75" x14ac:dyDescent="0.2">
      <c r="B302" s="889"/>
      <c r="C302" s="890"/>
    </row>
    <row r="303" spans="2:3" ht="12.75" x14ac:dyDescent="0.2">
      <c r="B303" s="889"/>
      <c r="C303" s="890"/>
    </row>
    <row r="304" spans="2:3" ht="12.75" x14ac:dyDescent="0.2">
      <c r="B304" s="889"/>
      <c r="C304" s="890"/>
    </row>
    <row r="305" spans="2:3" ht="12.75" x14ac:dyDescent="0.2">
      <c r="B305" s="889"/>
      <c r="C305" s="890"/>
    </row>
    <row r="306" spans="2:3" ht="12.75" x14ac:dyDescent="0.2">
      <c r="B306" s="889"/>
      <c r="C306" s="890"/>
    </row>
    <row r="307" spans="2:3" x14ac:dyDescent="0.2">
      <c r="C307" s="892">
        <f>COUNTA(C29:C306)</f>
        <v>257</v>
      </c>
    </row>
  </sheetData>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topLeftCell="A7" zoomScaleNormal="100" workbookViewId="0">
      <selection activeCell="E53" sqref="E53"/>
    </sheetView>
  </sheetViews>
  <sheetFormatPr defaultColWidth="9.140625" defaultRowHeight="11.25" x14ac:dyDescent="0.2"/>
  <cols>
    <col min="1" max="1" width="37.5703125" style="796" customWidth="1"/>
    <col min="2" max="2" width="7.7109375" style="798" customWidth="1"/>
    <col min="3" max="3" width="47.85546875" style="797" customWidth="1"/>
    <col min="4" max="4" width="20" style="796" hidden="1" customWidth="1"/>
    <col min="5" max="5" width="43.42578125" style="796" customWidth="1"/>
    <col min="6" max="16384" width="9.140625" style="796"/>
  </cols>
  <sheetData>
    <row r="1" spans="1:5" ht="35.25" customHeight="1" x14ac:dyDescent="0.2">
      <c r="A1" s="806" t="s">
        <v>1045</v>
      </c>
      <c r="B1" s="808"/>
      <c r="C1" s="807" t="s">
        <v>1044</v>
      </c>
      <c r="E1" s="806" t="s">
        <v>1043</v>
      </c>
    </row>
    <row r="2" spans="1:5" x14ac:dyDescent="0.2">
      <c r="A2" s="796" t="str">
        <f>B2&amp;" - "&amp;C2</f>
        <v>Vote 1 - City Manager</v>
      </c>
      <c r="B2" s="804" t="s">
        <v>816</v>
      </c>
      <c r="C2" s="802" t="s">
        <v>1399</v>
      </c>
      <c r="E2" s="805"/>
    </row>
    <row r="3" spans="1:5" x14ac:dyDescent="0.2">
      <c r="A3" s="796" t="str">
        <f>B13&amp;" - "&amp; C13</f>
        <v>Vote 2 - City Finance</v>
      </c>
      <c r="B3" s="801">
        <v>1.1000000000000001</v>
      </c>
      <c r="C3" s="800" t="s">
        <v>1395</v>
      </c>
      <c r="D3" s="796" t="str">
        <f t="shared" ref="D3:D12" si="0">CONCATENATE(B3, " - ", C3)</f>
        <v>1.1 - Internal Audit and Compliance</v>
      </c>
      <c r="E3" s="799" t="s">
        <v>1375</v>
      </c>
    </row>
    <row r="4" spans="1:5" x14ac:dyDescent="0.2">
      <c r="A4" s="796" t="str">
        <f>B24&amp;" - "&amp;C24</f>
        <v>Vote 3 - Community Services and Social Equity</v>
      </c>
      <c r="B4" s="801">
        <v>1.2</v>
      </c>
      <c r="C4" s="800" t="s">
        <v>1396</v>
      </c>
      <c r="D4" s="796" t="str">
        <f t="shared" si="0"/>
        <v>1.2 - Office of the City Manager</v>
      </c>
      <c r="E4" s="799" t="s">
        <v>1376</v>
      </c>
    </row>
    <row r="5" spans="1:5" x14ac:dyDescent="0.2">
      <c r="A5" s="796" t="str">
        <f>B35&amp;" - "&amp;C35</f>
        <v>Vote 4 - Corporate Services</v>
      </c>
      <c r="B5" s="801">
        <v>1.3</v>
      </c>
      <c r="C5" s="800" t="s">
        <v>1397</v>
      </c>
      <c r="D5" s="796" t="str">
        <f t="shared" si="0"/>
        <v>1.3 - Political Support</v>
      </c>
      <c r="E5" s="799" t="s">
        <v>1377</v>
      </c>
    </row>
    <row r="6" spans="1:5" x14ac:dyDescent="0.2">
      <c r="A6" s="796" t="str">
        <f>B46&amp;" - "&amp;C46</f>
        <v>Vote 5 - Infrastructure Services</v>
      </c>
      <c r="B6" s="801">
        <v>1.4</v>
      </c>
      <c r="C6" s="800" t="s">
        <v>1398</v>
      </c>
      <c r="D6" s="796" t="str">
        <f t="shared" si="0"/>
        <v>1.4 - Strategic Planning</v>
      </c>
      <c r="E6" s="799" t="s">
        <v>1378</v>
      </c>
    </row>
    <row r="7" spans="1:5" x14ac:dyDescent="0.2">
      <c r="A7" s="796" t="str">
        <f>B57&amp;" - "&amp;C57</f>
        <v>Vote 6 - Sustainable Development and City Enterprises</v>
      </c>
      <c r="B7" s="801">
        <v>1.5</v>
      </c>
      <c r="C7" s="800" t="s">
        <v>1009</v>
      </c>
      <c r="D7" s="796" t="str">
        <f t="shared" si="0"/>
        <v>1.5 - [Name of sub-vote]</v>
      </c>
      <c r="E7" s="799"/>
    </row>
    <row r="8" spans="1:5" x14ac:dyDescent="0.2">
      <c r="A8" s="796" t="str">
        <f>B68&amp;" - "&amp;C68</f>
        <v>Vote 7 - [NAME OF VOTE 7]</v>
      </c>
      <c r="B8" s="801">
        <v>1.6</v>
      </c>
      <c r="C8" s="800" t="s">
        <v>1009</v>
      </c>
      <c r="D8" s="796" t="str">
        <f t="shared" si="0"/>
        <v>1.6 - [Name of sub-vote]</v>
      </c>
      <c r="E8" s="799"/>
    </row>
    <row r="9" spans="1:5" x14ac:dyDescent="0.2">
      <c r="A9" s="796" t="str">
        <f>B79&amp;" - "&amp;C79</f>
        <v>Vote 8 - [NAME OF VOTE 8]</v>
      </c>
      <c r="B9" s="801">
        <v>1.7</v>
      </c>
      <c r="C9" s="800" t="s">
        <v>1009</v>
      </c>
      <c r="D9" s="796" t="str">
        <f t="shared" si="0"/>
        <v>1.7 - [Name of sub-vote]</v>
      </c>
      <c r="E9" s="799"/>
    </row>
    <row r="10" spans="1:5" x14ac:dyDescent="0.2">
      <c r="A10" s="796" t="str">
        <f>B90&amp;" - "&amp;C90</f>
        <v>Vote 9 - [NAME OF VOTE 9]</v>
      </c>
      <c r="B10" s="801">
        <v>1.8</v>
      </c>
      <c r="C10" s="800" t="s">
        <v>1009</v>
      </c>
      <c r="D10" s="796" t="str">
        <f t="shared" si="0"/>
        <v>1.8 - [Name of sub-vote]</v>
      </c>
      <c r="E10" s="799"/>
    </row>
    <row r="11" spans="1:5" x14ac:dyDescent="0.2">
      <c r="A11" s="796" t="str">
        <f>B101&amp;" - "&amp;C101</f>
        <v>Vote 10 - [NAME OF VOTE 10]</v>
      </c>
      <c r="B11" s="801">
        <v>1.9</v>
      </c>
      <c r="C11" s="800" t="s">
        <v>1009</v>
      </c>
      <c r="D11" s="796" t="str">
        <f t="shared" si="0"/>
        <v>1.9 - [Name of sub-vote]</v>
      </c>
      <c r="E11" s="799"/>
    </row>
    <row r="12" spans="1:5" x14ac:dyDescent="0.2">
      <c r="A12" s="796" t="str">
        <f>B112&amp;" - "&amp;C112</f>
        <v>Vote 11 - [NAME OF VOTE 11]</v>
      </c>
      <c r="B12" s="801" t="s">
        <v>1042</v>
      </c>
      <c r="C12" s="800" t="s">
        <v>1009</v>
      </c>
      <c r="D12" s="796" t="str">
        <f t="shared" si="0"/>
        <v>1.10 - [Name of sub-vote]</v>
      </c>
      <c r="E12" s="799"/>
    </row>
    <row r="13" spans="1:5" x14ac:dyDescent="0.2">
      <c r="A13" s="796" t="str">
        <f>B123&amp;" - "&amp;C123</f>
        <v>Vote 12 - [NAME OF VOTE 12]</v>
      </c>
      <c r="B13" s="804" t="s">
        <v>815</v>
      </c>
      <c r="C13" s="802" t="s">
        <v>1400</v>
      </c>
      <c r="E13" s="805"/>
    </row>
    <row r="14" spans="1:5" x14ac:dyDescent="0.2">
      <c r="A14" s="796" t="str">
        <f>B134&amp;" - "&amp;C134</f>
        <v>Vote 13 - [NAME OF VOTE 13]</v>
      </c>
      <c r="B14" s="801">
        <v>2.1</v>
      </c>
      <c r="C14" s="800" t="s">
        <v>1125</v>
      </c>
      <c r="D14" s="796" t="str">
        <f t="shared" ref="D14:D23" si="1">CONCATENATE(B14, " - ", C14)</f>
        <v>2.1 - Asset Management</v>
      </c>
      <c r="E14" s="799" t="s">
        <v>1379</v>
      </c>
    </row>
    <row r="15" spans="1:5" x14ac:dyDescent="0.2">
      <c r="A15" s="796" t="str">
        <f>B145&amp;" - "&amp;C145</f>
        <v>Vote 14 - [NAME OF VOTE 14]</v>
      </c>
      <c r="B15" s="801">
        <v>2.2000000000000002</v>
      </c>
      <c r="C15" s="800" t="s">
        <v>1392</v>
      </c>
      <c r="D15" s="796" t="str">
        <f t="shared" si="1"/>
        <v>2.2 - Budget and Treasury Management</v>
      </c>
      <c r="E15" s="799" t="s">
        <v>1380</v>
      </c>
    </row>
    <row r="16" spans="1:5" x14ac:dyDescent="0.2">
      <c r="A16" s="796" t="str">
        <f>B156&amp;" - "&amp;C156</f>
        <v>Vote 15 - [NAME OF VOTE 15]</v>
      </c>
      <c r="B16" s="801">
        <v>2.2999999999999998</v>
      </c>
      <c r="C16" s="800" t="s">
        <v>1393</v>
      </c>
      <c r="D16" s="796" t="str">
        <f t="shared" si="1"/>
        <v>2.3 - Expenditure Management</v>
      </c>
      <c r="E16" s="799" t="s">
        <v>1381</v>
      </c>
    </row>
    <row r="17" spans="1:5" x14ac:dyDescent="0.2">
      <c r="B17" s="801">
        <v>2.4</v>
      </c>
      <c r="C17" s="800" t="s">
        <v>437</v>
      </c>
      <c r="D17" s="796" t="str">
        <f t="shared" si="1"/>
        <v>2.4 - Revenue Management</v>
      </c>
      <c r="E17" s="799" t="s">
        <v>1382</v>
      </c>
    </row>
    <row r="18" spans="1:5" x14ac:dyDescent="0.2">
      <c r="B18" s="801">
        <v>2.5</v>
      </c>
      <c r="C18" s="800" t="s">
        <v>1394</v>
      </c>
      <c r="D18" s="796" t="str">
        <f t="shared" si="1"/>
        <v>2.5 - Supply Chain Management</v>
      </c>
      <c r="E18" s="799" t="s">
        <v>1383</v>
      </c>
    </row>
    <row r="19" spans="1:5" x14ac:dyDescent="0.2">
      <c r="B19" s="801">
        <v>2.6</v>
      </c>
      <c r="C19" s="800" t="s">
        <v>1009</v>
      </c>
      <c r="D19" s="796" t="str">
        <f t="shared" si="1"/>
        <v>2.6 - [Name of sub-vote]</v>
      </c>
      <c r="E19" s="799"/>
    </row>
    <row r="20" spans="1:5" x14ac:dyDescent="0.2">
      <c r="B20" s="801">
        <v>2.7</v>
      </c>
      <c r="C20" s="800" t="s">
        <v>1009</v>
      </c>
      <c r="D20" s="796" t="str">
        <f t="shared" si="1"/>
        <v>2.7 - [Name of sub-vote]</v>
      </c>
      <c r="E20" s="799"/>
    </row>
    <row r="21" spans="1:5" x14ac:dyDescent="0.2">
      <c r="A21" s="805"/>
      <c r="B21" s="801">
        <v>2.8</v>
      </c>
      <c r="C21" s="800" t="s">
        <v>1009</v>
      </c>
      <c r="D21" s="796" t="str">
        <f t="shared" si="1"/>
        <v>2.8 - [Name of sub-vote]</v>
      </c>
      <c r="E21" s="799"/>
    </row>
    <row r="22" spans="1:5" x14ac:dyDescent="0.2">
      <c r="B22" s="801">
        <v>2.9</v>
      </c>
      <c r="C22" s="800" t="s">
        <v>1009</v>
      </c>
      <c r="D22" s="796" t="str">
        <f t="shared" si="1"/>
        <v>2.9 - [Name of sub-vote]</v>
      </c>
      <c r="E22" s="799"/>
    </row>
    <row r="23" spans="1:5" x14ac:dyDescent="0.2">
      <c r="B23" s="801" t="s">
        <v>1041</v>
      </c>
      <c r="C23" s="800" t="s">
        <v>1009</v>
      </c>
      <c r="D23" s="796" t="str">
        <f t="shared" si="1"/>
        <v>2.10 - [Name of sub-vote]</v>
      </c>
      <c r="E23" s="799"/>
    </row>
    <row r="24" spans="1:5" x14ac:dyDescent="0.2">
      <c r="B24" s="804" t="s">
        <v>814</v>
      </c>
      <c r="C24" s="802" t="s">
        <v>1401</v>
      </c>
      <c r="E24" s="799"/>
    </row>
    <row r="25" spans="1:5" x14ac:dyDescent="0.2">
      <c r="B25" s="801">
        <v>3.1</v>
      </c>
      <c r="C25" s="800" t="s">
        <v>1388</v>
      </c>
      <c r="D25" s="796" t="str">
        <f t="shared" ref="D25:D34" si="2">CONCATENATE(B25, " - ", C25)</f>
        <v xml:space="preserve">3.1 - Area Based Management </v>
      </c>
      <c r="E25" s="799" t="s">
        <v>1384</v>
      </c>
    </row>
    <row r="26" spans="1:5" x14ac:dyDescent="0.2">
      <c r="B26" s="801">
        <v>3.2</v>
      </c>
      <c r="C26" s="800" t="s">
        <v>1389</v>
      </c>
      <c r="D26" s="796" t="str">
        <f t="shared" si="2"/>
        <v>3.2 - Public Safety, Emergency Services and Enforcement</v>
      </c>
      <c r="E26" s="799" t="s">
        <v>1385</v>
      </c>
    </row>
    <row r="27" spans="1:5" x14ac:dyDescent="0.2">
      <c r="B27" s="801">
        <v>3.3</v>
      </c>
      <c r="C27" s="800" t="s">
        <v>1390</v>
      </c>
      <c r="D27" s="796" t="str">
        <f t="shared" si="2"/>
        <v>3.3 - Recreation and Facilities</v>
      </c>
      <c r="E27" s="799" t="s">
        <v>1386</v>
      </c>
    </row>
    <row r="28" spans="1:5" x14ac:dyDescent="0.2">
      <c r="B28" s="801">
        <v>3.4</v>
      </c>
      <c r="C28" s="800" t="s">
        <v>1391</v>
      </c>
      <c r="D28" s="796" t="str">
        <f t="shared" si="2"/>
        <v>3.4 - Waste Management</v>
      </c>
      <c r="E28" s="799" t="s">
        <v>1387</v>
      </c>
    </row>
    <row r="29" spans="1:5" x14ac:dyDescent="0.2">
      <c r="B29" s="801">
        <v>3.5</v>
      </c>
      <c r="C29" s="800" t="s">
        <v>1009</v>
      </c>
      <c r="D29" s="796" t="str">
        <f t="shared" si="2"/>
        <v>3.5 - [Name of sub-vote]</v>
      </c>
      <c r="E29" s="799"/>
    </row>
    <row r="30" spans="1:5" x14ac:dyDescent="0.2">
      <c r="B30" s="801">
        <v>3.6</v>
      </c>
      <c r="C30" s="800" t="s">
        <v>1009</v>
      </c>
      <c r="D30" s="796" t="str">
        <f t="shared" si="2"/>
        <v>3.6 - [Name of sub-vote]</v>
      </c>
      <c r="E30" s="799"/>
    </row>
    <row r="31" spans="1:5" x14ac:dyDescent="0.2">
      <c r="B31" s="801">
        <v>3.7</v>
      </c>
      <c r="C31" s="800" t="s">
        <v>1009</v>
      </c>
      <c r="D31" s="796" t="str">
        <f t="shared" si="2"/>
        <v>3.7 - [Name of sub-vote]</v>
      </c>
      <c r="E31" s="799"/>
    </row>
    <row r="32" spans="1:5" x14ac:dyDescent="0.2">
      <c r="B32" s="801">
        <v>3.8</v>
      </c>
      <c r="C32" s="800" t="s">
        <v>1009</v>
      </c>
      <c r="D32" s="796" t="str">
        <f t="shared" si="2"/>
        <v>3.8 - [Name of sub-vote]</v>
      </c>
      <c r="E32" s="799"/>
    </row>
    <row r="33" spans="2:5" x14ac:dyDescent="0.2">
      <c r="B33" s="801">
        <v>3.9</v>
      </c>
      <c r="C33" s="800" t="s">
        <v>1009</v>
      </c>
      <c r="D33" s="796" t="str">
        <f t="shared" si="2"/>
        <v>3.9 - [Name of sub-vote]</v>
      </c>
      <c r="E33" s="799"/>
    </row>
    <row r="34" spans="2:5" x14ac:dyDescent="0.2">
      <c r="B34" s="801" t="s">
        <v>1040</v>
      </c>
      <c r="C34" s="800" t="s">
        <v>1009</v>
      </c>
      <c r="D34" s="796" t="str">
        <f t="shared" si="2"/>
        <v>3.10 - [Name of sub-vote]</v>
      </c>
      <c r="E34" s="799"/>
    </row>
    <row r="35" spans="2:5" x14ac:dyDescent="0.2">
      <c r="B35" s="804" t="s">
        <v>813</v>
      </c>
      <c r="C35" s="802" t="s">
        <v>1402</v>
      </c>
      <c r="E35" s="799"/>
    </row>
    <row r="36" spans="2:5" x14ac:dyDescent="0.2">
      <c r="B36" s="801">
        <v>4.0999999999999996</v>
      </c>
      <c r="C36" s="800" t="s">
        <v>1403</v>
      </c>
      <c r="D36" s="796" t="str">
        <f t="shared" ref="D36:D45" si="3">CONCATENATE(B36, " - ", C36)</f>
        <v>4.1 - Human Resources Management</v>
      </c>
      <c r="E36" s="799" t="s">
        <v>1406</v>
      </c>
    </row>
    <row r="37" spans="2:5" x14ac:dyDescent="0.2">
      <c r="B37" s="801">
        <v>4.2</v>
      </c>
      <c r="C37" s="800" t="s">
        <v>162</v>
      </c>
      <c r="D37" s="796" t="str">
        <f t="shared" si="3"/>
        <v>4.2 - Information Technology</v>
      </c>
      <c r="E37" s="799" t="s">
        <v>1407</v>
      </c>
    </row>
    <row r="38" spans="2:5" x14ac:dyDescent="0.2">
      <c r="B38" s="801">
        <v>4.3</v>
      </c>
      <c r="C38" s="800" t="s">
        <v>1128</v>
      </c>
      <c r="D38" s="796" t="str">
        <f t="shared" si="3"/>
        <v>4.3 - Legal Services</v>
      </c>
      <c r="E38" s="799" t="s">
        <v>1408</v>
      </c>
    </row>
    <row r="39" spans="2:5" x14ac:dyDescent="0.2">
      <c r="B39" s="801">
        <v>4.4000000000000004</v>
      </c>
      <c r="C39" s="800" t="s">
        <v>1404</v>
      </c>
      <c r="D39" s="796" t="str">
        <f t="shared" si="3"/>
        <v>4.4 - Secretariat and Auxiliary Services</v>
      </c>
      <c r="E39" s="799" t="s">
        <v>1409</v>
      </c>
    </row>
    <row r="40" spans="2:5" x14ac:dyDescent="0.2">
      <c r="B40" s="801">
        <v>4.5</v>
      </c>
      <c r="C40" s="800" t="s">
        <v>1405</v>
      </c>
      <c r="D40" s="796" t="str">
        <f t="shared" si="3"/>
        <v>4.5 - General Manager: Corporate Service</v>
      </c>
      <c r="E40" s="799" t="s">
        <v>1410</v>
      </c>
    </row>
    <row r="41" spans="2:5" x14ac:dyDescent="0.2">
      <c r="B41" s="801">
        <v>4.5999999999999996</v>
      </c>
      <c r="C41" s="800" t="s">
        <v>1009</v>
      </c>
      <c r="D41" s="796" t="str">
        <f t="shared" si="3"/>
        <v>4.6 - [Name of sub-vote]</v>
      </c>
      <c r="E41" s="799"/>
    </row>
    <row r="42" spans="2:5" x14ac:dyDescent="0.2">
      <c r="B42" s="801">
        <v>4.7</v>
      </c>
      <c r="C42" s="800" t="s">
        <v>1009</v>
      </c>
      <c r="D42" s="796" t="str">
        <f t="shared" si="3"/>
        <v>4.7 - [Name of sub-vote]</v>
      </c>
      <c r="E42" s="799"/>
    </row>
    <row r="43" spans="2:5" x14ac:dyDescent="0.2">
      <c r="B43" s="801">
        <v>4.8</v>
      </c>
      <c r="C43" s="800" t="s">
        <v>1009</v>
      </c>
      <c r="D43" s="796" t="str">
        <f t="shared" si="3"/>
        <v>4.8 - [Name of sub-vote]</v>
      </c>
      <c r="E43" s="799"/>
    </row>
    <row r="44" spans="2:5" x14ac:dyDescent="0.2">
      <c r="B44" s="801">
        <v>4.9000000000000004</v>
      </c>
      <c r="C44" s="800" t="s">
        <v>1009</v>
      </c>
      <c r="D44" s="796" t="str">
        <f t="shared" si="3"/>
        <v>4.9 - [Name of sub-vote]</v>
      </c>
      <c r="E44" s="799"/>
    </row>
    <row r="45" spans="2:5" x14ac:dyDescent="0.2">
      <c r="B45" s="801" t="s">
        <v>1039</v>
      </c>
      <c r="C45" s="800" t="s">
        <v>1009</v>
      </c>
      <c r="D45" s="796" t="str">
        <f t="shared" si="3"/>
        <v>4.10 - [Name of sub-vote]</v>
      </c>
      <c r="E45" s="799"/>
    </row>
    <row r="46" spans="2:5" x14ac:dyDescent="0.2">
      <c r="B46" s="804" t="s">
        <v>812</v>
      </c>
      <c r="C46" s="802" t="s">
        <v>1416</v>
      </c>
      <c r="E46" s="799"/>
    </row>
    <row r="47" spans="2:5" x14ac:dyDescent="0.2">
      <c r="B47" s="801">
        <v>5.0999999999999996</v>
      </c>
      <c r="C47" s="800" t="s">
        <v>1411</v>
      </c>
      <c r="D47" s="796" t="str">
        <f t="shared" ref="D47:D56" si="4">CONCATENATE(B47, " - ", C47)</f>
        <v>5.1 - Electricity</v>
      </c>
      <c r="E47" s="799" t="s">
        <v>1428</v>
      </c>
    </row>
    <row r="48" spans="2:5" x14ac:dyDescent="0.2">
      <c r="B48" s="801">
        <v>5.2</v>
      </c>
      <c r="C48" s="800" t="s">
        <v>1412</v>
      </c>
      <c r="D48" s="796" t="str">
        <f t="shared" si="4"/>
        <v>5.2 - Project Management Office</v>
      </c>
      <c r="E48" s="799" t="s">
        <v>1429</v>
      </c>
    </row>
    <row r="49" spans="2:5" x14ac:dyDescent="0.2">
      <c r="B49" s="801">
        <v>5.3</v>
      </c>
      <c r="C49" s="800" t="s">
        <v>1413</v>
      </c>
      <c r="D49" s="796" t="str">
        <f t="shared" si="4"/>
        <v>5.3 - Roads and Transportation</v>
      </c>
      <c r="E49" s="799" t="s">
        <v>1430</v>
      </c>
    </row>
    <row r="50" spans="2:5" x14ac:dyDescent="0.2">
      <c r="B50" s="801">
        <v>5.4</v>
      </c>
      <c r="C50" s="800" t="s">
        <v>1414</v>
      </c>
      <c r="D50" s="796" t="str">
        <f t="shared" si="4"/>
        <v>5.4 - Water and Sanitation</v>
      </c>
      <c r="E50" s="799" t="s">
        <v>1431</v>
      </c>
    </row>
    <row r="51" spans="2:5" x14ac:dyDescent="0.2">
      <c r="B51" s="801">
        <v>5.5</v>
      </c>
      <c r="C51" s="800" t="s">
        <v>1415</v>
      </c>
      <c r="D51" s="796" t="str">
        <f t="shared" si="4"/>
        <v xml:space="preserve">5.5 - General Manager: Infrastructure </v>
      </c>
      <c r="E51" s="799" t="s">
        <v>1432</v>
      </c>
    </row>
    <row r="52" spans="2:5" x14ac:dyDescent="0.2">
      <c r="B52" s="801">
        <v>5.6</v>
      </c>
      <c r="C52" s="800" t="s">
        <v>1009</v>
      </c>
      <c r="D52" s="796" t="str">
        <f t="shared" si="4"/>
        <v>5.6 - [Name of sub-vote]</v>
      </c>
      <c r="E52" s="799"/>
    </row>
    <row r="53" spans="2:5" x14ac:dyDescent="0.2">
      <c r="B53" s="801">
        <v>5.7</v>
      </c>
      <c r="C53" s="800" t="s">
        <v>1009</v>
      </c>
      <c r="D53" s="796" t="str">
        <f t="shared" si="4"/>
        <v>5.7 - [Name of sub-vote]</v>
      </c>
      <c r="E53" s="799"/>
    </row>
    <row r="54" spans="2:5" x14ac:dyDescent="0.2">
      <c r="B54" s="801">
        <v>5.8</v>
      </c>
      <c r="C54" s="800" t="s">
        <v>1009</v>
      </c>
      <c r="D54" s="796" t="str">
        <f t="shared" si="4"/>
        <v>5.8 - [Name of sub-vote]</v>
      </c>
      <c r="E54" s="799"/>
    </row>
    <row r="55" spans="2:5" x14ac:dyDescent="0.2">
      <c r="B55" s="801">
        <v>5.9</v>
      </c>
      <c r="C55" s="800" t="s">
        <v>1009</v>
      </c>
      <c r="D55" s="796" t="str">
        <f t="shared" si="4"/>
        <v>5.9 - [Name of sub-vote]</v>
      </c>
      <c r="E55" s="799"/>
    </row>
    <row r="56" spans="2:5" x14ac:dyDescent="0.2">
      <c r="B56" s="801" t="s">
        <v>1038</v>
      </c>
      <c r="C56" s="800" t="s">
        <v>1009</v>
      </c>
      <c r="D56" s="796" t="str">
        <f t="shared" si="4"/>
        <v>5.10 - [Name of sub-vote]</v>
      </c>
      <c r="E56" s="799"/>
    </row>
    <row r="57" spans="2:5" x14ac:dyDescent="0.2">
      <c r="B57" s="804" t="s">
        <v>811</v>
      </c>
      <c r="C57" s="802" t="s">
        <v>1417</v>
      </c>
      <c r="E57" s="799"/>
    </row>
    <row r="58" spans="2:5" x14ac:dyDescent="0.2">
      <c r="B58" s="801">
        <v>6.1</v>
      </c>
      <c r="C58" s="800" t="s">
        <v>1418</v>
      </c>
      <c r="D58" s="796" t="str">
        <f t="shared" ref="D58:D67" si="5">CONCATENATE(B58, " - ", C58)</f>
        <v>6.1 - City Entities</v>
      </c>
      <c r="E58" s="799" t="s">
        <v>1423</v>
      </c>
    </row>
    <row r="59" spans="2:5" x14ac:dyDescent="0.2">
      <c r="B59" s="801">
        <v>6.2</v>
      </c>
      <c r="C59" s="800" t="s">
        <v>1419</v>
      </c>
      <c r="D59" s="796" t="str">
        <f t="shared" si="5"/>
        <v>6.2 - Development Services</v>
      </c>
      <c r="E59" s="799" t="s">
        <v>1424</v>
      </c>
    </row>
    <row r="60" spans="2:5" x14ac:dyDescent="0.2">
      <c r="B60" s="801">
        <v>6.3</v>
      </c>
      <c r="C60" s="800" t="s">
        <v>1420</v>
      </c>
      <c r="D60" s="796" t="str">
        <f t="shared" si="5"/>
        <v>6.3 - Human Settlement Development</v>
      </c>
      <c r="E60" s="799" t="s">
        <v>1425</v>
      </c>
    </row>
    <row r="61" spans="2:5" x14ac:dyDescent="0.2">
      <c r="B61" s="801">
        <v>6.4</v>
      </c>
      <c r="C61" s="800" t="s">
        <v>1421</v>
      </c>
      <c r="D61" s="796" t="str">
        <f t="shared" si="5"/>
        <v>6.4 - Town Planning</v>
      </c>
      <c r="E61" s="799" t="s">
        <v>1426</v>
      </c>
    </row>
    <row r="62" spans="2:5" x14ac:dyDescent="0.2">
      <c r="B62" s="801">
        <v>6.5</v>
      </c>
      <c r="C62" s="800" t="s">
        <v>1422</v>
      </c>
      <c r="D62" s="796" t="str">
        <f t="shared" si="5"/>
        <v>6.5 - General Manager: Sustainable Development and City Enterprises</v>
      </c>
      <c r="E62" s="799" t="s">
        <v>1427</v>
      </c>
    </row>
    <row r="63" spans="2:5" x14ac:dyDescent="0.2">
      <c r="B63" s="801">
        <v>6.6</v>
      </c>
      <c r="C63" s="800" t="s">
        <v>1009</v>
      </c>
      <c r="D63" s="796" t="str">
        <f t="shared" si="5"/>
        <v>6.6 - [Name of sub-vote]</v>
      </c>
      <c r="E63" s="799"/>
    </row>
    <row r="64" spans="2:5" x14ac:dyDescent="0.2">
      <c r="B64" s="801">
        <v>6.7</v>
      </c>
      <c r="C64" s="800" t="s">
        <v>1009</v>
      </c>
      <c r="D64" s="796" t="str">
        <f t="shared" si="5"/>
        <v>6.7 - [Name of sub-vote]</v>
      </c>
      <c r="E64" s="799"/>
    </row>
    <row r="65" spans="2:5" x14ac:dyDescent="0.2">
      <c r="B65" s="801">
        <v>6.8</v>
      </c>
      <c r="C65" s="800" t="s">
        <v>1009</v>
      </c>
      <c r="D65" s="796" t="str">
        <f t="shared" si="5"/>
        <v>6.8 - [Name of sub-vote]</v>
      </c>
      <c r="E65" s="799"/>
    </row>
    <row r="66" spans="2:5" x14ac:dyDescent="0.2">
      <c r="B66" s="801">
        <v>6.9</v>
      </c>
      <c r="C66" s="800" t="s">
        <v>1009</v>
      </c>
      <c r="D66" s="796" t="str">
        <f t="shared" si="5"/>
        <v>6.9 - [Name of sub-vote]</v>
      </c>
      <c r="E66" s="799"/>
    </row>
    <row r="67" spans="2:5" x14ac:dyDescent="0.2">
      <c r="B67" s="801" t="s">
        <v>1037</v>
      </c>
      <c r="C67" s="800" t="s">
        <v>1009</v>
      </c>
      <c r="D67" s="796" t="str">
        <f t="shared" si="5"/>
        <v>6.10 - [Name of sub-vote]</v>
      </c>
      <c r="E67" s="799"/>
    </row>
    <row r="68" spans="2:5" x14ac:dyDescent="0.2">
      <c r="B68" s="803" t="s">
        <v>810</v>
      </c>
      <c r="C68" s="802" t="s">
        <v>1036</v>
      </c>
      <c r="E68" s="799"/>
    </row>
    <row r="69" spans="2:5" x14ac:dyDescent="0.2">
      <c r="B69" s="801">
        <v>7.1</v>
      </c>
      <c r="C69" s="800" t="s">
        <v>1009</v>
      </c>
      <c r="D69" s="796" t="str">
        <f t="shared" ref="D69:D78" si="6">CONCATENATE(B69, " - ", C69)</f>
        <v>7.1 - [Name of sub-vote]</v>
      </c>
      <c r="E69" s="799" t="s">
        <v>1035</v>
      </c>
    </row>
    <row r="70" spans="2:5" x14ac:dyDescent="0.2">
      <c r="B70" s="801">
        <v>7.2</v>
      </c>
      <c r="C70" s="800" t="s">
        <v>1009</v>
      </c>
      <c r="D70" s="796" t="str">
        <f t="shared" si="6"/>
        <v>7.2 - [Name of sub-vote]</v>
      </c>
      <c r="E70" s="799"/>
    </row>
    <row r="71" spans="2:5" x14ac:dyDescent="0.2">
      <c r="B71" s="801">
        <v>7.3</v>
      </c>
      <c r="C71" s="800" t="s">
        <v>1009</v>
      </c>
      <c r="D71" s="796" t="str">
        <f t="shared" si="6"/>
        <v>7.3 - [Name of sub-vote]</v>
      </c>
      <c r="E71" s="799"/>
    </row>
    <row r="72" spans="2:5" x14ac:dyDescent="0.2">
      <c r="B72" s="801">
        <v>7.4</v>
      </c>
      <c r="C72" s="800" t="s">
        <v>1009</v>
      </c>
      <c r="D72" s="796" t="str">
        <f t="shared" si="6"/>
        <v>7.4 - [Name of sub-vote]</v>
      </c>
      <c r="E72" s="799"/>
    </row>
    <row r="73" spans="2:5" x14ac:dyDescent="0.2">
      <c r="B73" s="801">
        <v>7.5</v>
      </c>
      <c r="C73" s="800" t="s">
        <v>1009</v>
      </c>
      <c r="D73" s="796" t="str">
        <f t="shared" si="6"/>
        <v>7.5 - [Name of sub-vote]</v>
      </c>
      <c r="E73" s="799"/>
    </row>
    <row r="74" spans="2:5" x14ac:dyDescent="0.2">
      <c r="B74" s="801">
        <v>7.6</v>
      </c>
      <c r="C74" s="800" t="s">
        <v>1009</v>
      </c>
      <c r="D74" s="796" t="str">
        <f t="shared" si="6"/>
        <v>7.6 - [Name of sub-vote]</v>
      </c>
      <c r="E74" s="799"/>
    </row>
    <row r="75" spans="2:5" x14ac:dyDescent="0.2">
      <c r="B75" s="801">
        <v>7.7</v>
      </c>
      <c r="C75" s="800" t="s">
        <v>1009</v>
      </c>
      <c r="D75" s="796" t="str">
        <f t="shared" si="6"/>
        <v>7.7 - [Name of sub-vote]</v>
      </c>
      <c r="E75" s="799"/>
    </row>
    <row r="76" spans="2:5" x14ac:dyDescent="0.2">
      <c r="B76" s="801">
        <v>7.8</v>
      </c>
      <c r="C76" s="800" t="s">
        <v>1009</v>
      </c>
      <c r="D76" s="796" t="str">
        <f t="shared" si="6"/>
        <v>7.8 - [Name of sub-vote]</v>
      </c>
      <c r="E76" s="799"/>
    </row>
    <row r="77" spans="2:5" x14ac:dyDescent="0.2">
      <c r="B77" s="801">
        <v>7.9</v>
      </c>
      <c r="C77" s="800" t="s">
        <v>1009</v>
      </c>
      <c r="D77" s="796" t="str">
        <f t="shared" si="6"/>
        <v>7.9 - [Name of sub-vote]</v>
      </c>
      <c r="E77" s="799"/>
    </row>
    <row r="78" spans="2:5" x14ac:dyDescent="0.2">
      <c r="B78" s="801" t="s">
        <v>1034</v>
      </c>
      <c r="C78" s="800" t="s">
        <v>1009</v>
      </c>
      <c r="D78" s="796" t="str">
        <f t="shared" si="6"/>
        <v>7.10 - [Name of sub-vote]</v>
      </c>
      <c r="E78" s="799"/>
    </row>
    <row r="79" spans="2:5" x14ac:dyDescent="0.2">
      <c r="B79" s="803" t="s">
        <v>809</v>
      </c>
      <c r="C79" s="802" t="s">
        <v>1033</v>
      </c>
      <c r="E79" s="799"/>
    </row>
    <row r="80" spans="2:5" x14ac:dyDescent="0.2">
      <c r="B80" s="801">
        <v>8.1</v>
      </c>
      <c r="C80" s="800" t="s">
        <v>1009</v>
      </c>
      <c r="D80" s="796" t="str">
        <f t="shared" ref="D80:D89" si="7">CONCATENATE(B80, " - ", C80)</f>
        <v>8.1 - [Name of sub-vote]</v>
      </c>
      <c r="E80" s="799" t="s">
        <v>1032</v>
      </c>
    </row>
    <row r="81" spans="2:5" x14ac:dyDescent="0.2">
      <c r="B81" s="801">
        <v>8.1999999999999993</v>
      </c>
      <c r="C81" s="800" t="s">
        <v>1009</v>
      </c>
      <c r="D81" s="796" t="str">
        <f t="shared" si="7"/>
        <v>8.2 - [Name of sub-vote]</v>
      </c>
      <c r="E81" s="799"/>
    </row>
    <row r="82" spans="2:5" x14ac:dyDescent="0.2">
      <c r="B82" s="801">
        <v>8.3000000000000007</v>
      </c>
      <c r="C82" s="800" t="s">
        <v>1009</v>
      </c>
      <c r="D82" s="796" t="str">
        <f t="shared" si="7"/>
        <v>8.3 - [Name of sub-vote]</v>
      </c>
      <c r="E82" s="799"/>
    </row>
    <row r="83" spans="2:5" x14ac:dyDescent="0.2">
      <c r="B83" s="801">
        <v>8.4</v>
      </c>
      <c r="C83" s="800" t="s">
        <v>1009</v>
      </c>
      <c r="D83" s="796" t="str">
        <f t="shared" si="7"/>
        <v>8.4 - [Name of sub-vote]</v>
      </c>
      <c r="E83" s="799"/>
    </row>
    <row r="84" spans="2:5" x14ac:dyDescent="0.2">
      <c r="B84" s="801">
        <v>8.5</v>
      </c>
      <c r="C84" s="800" t="s">
        <v>1009</v>
      </c>
      <c r="D84" s="796" t="str">
        <f t="shared" si="7"/>
        <v>8.5 - [Name of sub-vote]</v>
      </c>
      <c r="E84" s="799"/>
    </row>
    <row r="85" spans="2:5" x14ac:dyDescent="0.2">
      <c r="B85" s="801">
        <v>8.6</v>
      </c>
      <c r="C85" s="800" t="s">
        <v>1009</v>
      </c>
      <c r="D85" s="796" t="str">
        <f t="shared" si="7"/>
        <v>8.6 - [Name of sub-vote]</v>
      </c>
      <c r="E85" s="799"/>
    </row>
    <row r="86" spans="2:5" x14ac:dyDescent="0.2">
      <c r="B86" s="801">
        <v>8.6999999999999993</v>
      </c>
      <c r="C86" s="800" t="s">
        <v>1009</v>
      </c>
      <c r="D86" s="796" t="str">
        <f t="shared" si="7"/>
        <v>8.7 - [Name of sub-vote]</v>
      </c>
      <c r="E86" s="799"/>
    </row>
    <row r="87" spans="2:5" x14ac:dyDescent="0.2">
      <c r="B87" s="801">
        <v>8.8000000000000007</v>
      </c>
      <c r="C87" s="800" t="s">
        <v>1009</v>
      </c>
      <c r="D87" s="796" t="str">
        <f t="shared" si="7"/>
        <v>8.8 - [Name of sub-vote]</v>
      </c>
      <c r="E87" s="799"/>
    </row>
    <row r="88" spans="2:5" x14ac:dyDescent="0.2">
      <c r="B88" s="801">
        <v>8.9</v>
      </c>
      <c r="C88" s="800" t="s">
        <v>1009</v>
      </c>
      <c r="D88" s="796" t="str">
        <f t="shared" si="7"/>
        <v>8.9 - [Name of sub-vote]</v>
      </c>
      <c r="E88" s="799"/>
    </row>
    <row r="89" spans="2:5" x14ac:dyDescent="0.2">
      <c r="B89" s="801" t="s">
        <v>1031</v>
      </c>
      <c r="C89" s="800" t="s">
        <v>1009</v>
      </c>
      <c r="D89" s="796" t="str">
        <f t="shared" si="7"/>
        <v>8.10 - [Name of sub-vote]</v>
      </c>
      <c r="E89" s="799"/>
    </row>
    <row r="90" spans="2:5" x14ac:dyDescent="0.2">
      <c r="B90" s="803" t="s">
        <v>808</v>
      </c>
      <c r="C90" s="802" t="s">
        <v>1030</v>
      </c>
      <c r="E90" s="799"/>
    </row>
    <row r="91" spans="2:5" x14ac:dyDescent="0.2">
      <c r="B91" s="801">
        <v>9.1</v>
      </c>
      <c r="C91" s="800" t="s">
        <v>1009</v>
      </c>
      <c r="D91" s="796" t="str">
        <f t="shared" ref="D91:D100" si="8">CONCATENATE(B91, " - ", C91)</f>
        <v>9.1 - [Name of sub-vote]</v>
      </c>
      <c r="E91" s="799" t="s">
        <v>1029</v>
      </c>
    </row>
    <row r="92" spans="2:5" x14ac:dyDescent="0.2">
      <c r="B92" s="801">
        <v>9.1999999999999993</v>
      </c>
      <c r="C92" s="800" t="s">
        <v>1009</v>
      </c>
      <c r="D92" s="796" t="str">
        <f t="shared" si="8"/>
        <v>9.2 - [Name of sub-vote]</v>
      </c>
      <c r="E92" s="799"/>
    </row>
    <row r="93" spans="2:5" x14ac:dyDescent="0.2">
      <c r="B93" s="801">
        <v>9.3000000000000007</v>
      </c>
      <c r="C93" s="800" t="s">
        <v>1009</v>
      </c>
      <c r="D93" s="796" t="str">
        <f t="shared" si="8"/>
        <v>9.3 - [Name of sub-vote]</v>
      </c>
      <c r="E93" s="799"/>
    </row>
    <row r="94" spans="2:5" x14ac:dyDescent="0.2">
      <c r="B94" s="801">
        <v>9.4</v>
      </c>
      <c r="C94" s="800" t="s">
        <v>1009</v>
      </c>
      <c r="D94" s="796" t="str">
        <f t="shared" si="8"/>
        <v>9.4 - [Name of sub-vote]</v>
      </c>
      <c r="E94" s="799"/>
    </row>
    <row r="95" spans="2:5" x14ac:dyDescent="0.2">
      <c r="B95" s="801">
        <v>9.5</v>
      </c>
      <c r="C95" s="800" t="s">
        <v>1009</v>
      </c>
      <c r="D95" s="796" t="str">
        <f t="shared" si="8"/>
        <v>9.5 - [Name of sub-vote]</v>
      </c>
      <c r="E95" s="799"/>
    </row>
    <row r="96" spans="2:5" x14ac:dyDescent="0.2">
      <c r="B96" s="801">
        <v>9.6</v>
      </c>
      <c r="C96" s="800" t="s">
        <v>1009</v>
      </c>
      <c r="D96" s="796" t="str">
        <f t="shared" si="8"/>
        <v>9.6 - [Name of sub-vote]</v>
      </c>
      <c r="E96" s="799"/>
    </row>
    <row r="97" spans="2:5" x14ac:dyDescent="0.2">
      <c r="B97" s="801">
        <v>9.6999999999999993</v>
      </c>
      <c r="C97" s="800" t="s">
        <v>1009</v>
      </c>
      <c r="D97" s="796" t="str">
        <f t="shared" si="8"/>
        <v>9.7 - [Name of sub-vote]</v>
      </c>
      <c r="E97" s="799"/>
    </row>
    <row r="98" spans="2:5" x14ac:dyDescent="0.2">
      <c r="B98" s="801">
        <v>9.8000000000000007</v>
      </c>
      <c r="C98" s="800" t="s">
        <v>1009</v>
      </c>
      <c r="D98" s="796" t="str">
        <f t="shared" si="8"/>
        <v>9.8 - [Name of sub-vote]</v>
      </c>
      <c r="E98" s="799"/>
    </row>
    <row r="99" spans="2:5" x14ac:dyDescent="0.2">
      <c r="B99" s="801">
        <v>9.9</v>
      </c>
      <c r="C99" s="800" t="s">
        <v>1009</v>
      </c>
      <c r="D99" s="796" t="str">
        <f t="shared" si="8"/>
        <v>9.9 - [Name of sub-vote]</v>
      </c>
      <c r="E99" s="799"/>
    </row>
    <row r="100" spans="2:5" x14ac:dyDescent="0.2">
      <c r="B100" s="801" t="s">
        <v>1028</v>
      </c>
      <c r="C100" s="800" t="s">
        <v>1009</v>
      </c>
      <c r="D100" s="796" t="str">
        <f t="shared" si="8"/>
        <v>9.10 - [Name of sub-vote]</v>
      </c>
      <c r="E100" s="799"/>
    </row>
    <row r="101" spans="2:5" x14ac:dyDescent="0.2">
      <c r="B101" s="803" t="s">
        <v>807</v>
      </c>
      <c r="C101" s="802" t="s">
        <v>1027</v>
      </c>
      <c r="E101" s="799"/>
    </row>
    <row r="102" spans="2:5" x14ac:dyDescent="0.2">
      <c r="B102" s="801">
        <v>10.1</v>
      </c>
      <c r="C102" s="800" t="s">
        <v>1009</v>
      </c>
      <c r="D102" s="796" t="str">
        <f t="shared" ref="D102:D111" si="9">CONCATENATE(B102, " - ", C102)</f>
        <v>10.1 - [Name of sub-vote]</v>
      </c>
      <c r="E102" s="799" t="s">
        <v>1026</v>
      </c>
    </row>
    <row r="103" spans="2:5" x14ac:dyDescent="0.2">
      <c r="B103" s="801">
        <v>10.199999999999999</v>
      </c>
      <c r="C103" s="800" t="s">
        <v>1009</v>
      </c>
      <c r="D103" s="796" t="str">
        <f t="shared" si="9"/>
        <v>10.2 - [Name of sub-vote]</v>
      </c>
      <c r="E103" s="799"/>
    </row>
    <row r="104" spans="2:5" x14ac:dyDescent="0.2">
      <c r="B104" s="801">
        <v>10.3</v>
      </c>
      <c r="C104" s="800" t="s">
        <v>1009</v>
      </c>
      <c r="D104" s="796" t="str">
        <f t="shared" si="9"/>
        <v>10.3 - [Name of sub-vote]</v>
      </c>
      <c r="E104" s="799"/>
    </row>
    <row r="105" spans="2:5" x14ac:dyDescent="0.2">
      <c r="B105" s="801">
        <v>10.4</v>
      </c>
      <c r="C105" s="800" t="s">
        <v>1009</v>
      </c>
      <c r="D105" s="796" t="str">
        <f t="shared" si="9"/>
        <v>10.4 - [Name of sub-vote]</v>
      </c>
      <c r="E105" s="799"/>
    </row>
    <row r="106" spans="2:5" x14ac:dyDescent="0.2">
      <c r="B106" s="801">
        <v>10.5</v>
      </c>
      <c r="C106" s="800" t="s">
        <v>1009</v>
      </c>
      <c r="D106" s="796" t="str">
        <f t="shared" si="9"/>
        <v>10.5 - [Name of sub-vote]</v>
      </c>
      <c r="E106" s="799"/>
    </row>
    <row r="107" spans="2:5" x14ac:dyDescent="0.2">
      <c r="B107" s="801">
        <v>10.6</v>
      </c>
      <c r="C107" s="800" t="s">
        <v>1009</v>
      </c>
      <c r="D107" s="796" t="str">
        <f t="shared" si="9"/>
        <v>10.6 - [Name of sub-vote]</v>
      </c>
      <c r="E107" s="799"/>
    </row>
    <row r="108" spans="2:5" x14ac:dyDescent="0.2">
      <c r="B108" s="801">
        <v>10.7</v>
      </c>
      <c r="C108" s="800" t="s">
        <v>1009</v>
      </c>
      <c r="D108" s="796" t="str">
        <f t="shared" si="9"/>
        <v>10.7 - [Name of sub-vote]</v>
      </c>
      <c r="E108" s="799"/>
    </row>
    <row r="109" spans="2:5" x14ac:dyDescent="0.2">
      <c r="B109" s="801">
        <v>10.8</v>
      </c>
      <c r="C109" s="800" t="s">
        <v>1009</v>
      </c>
      <c r="D109" s="796" t="str">
        <f t="shared" si="9"/>
        <v>10.8 - [Name of sub-vote]</v>
      </c>
      <c r="E109" s="799"/>
    </row>
    <row r="110" spans="2:5" x14ac:dyDescent="0.2">
      <c r="B110" s="801">
        <v>10.9</v>
      </c>
      <c r="C110" s="800" t="s">
        <v>1009</v>
      </c>
      <c r="D110" s="796" t="str">
        <f t="shared" si="9"/>
        <v>10.9 - [Name of sub-vote]</v>
      </c>
      <c r="E110" s="799"/>
    </row>
    <row r="111" spans="2:5" x14ac:dyDescent="0.2">
      <c r="B111" s="801" t="s">
        <v>1025</v>
      </c>
      <c r="C111" s="800" t="s">
        <v>1009</v>
      </c>
      <c r="D111" s="796" t="str">
        <f t="shared" si="9"/>
        <v>10.10 - [Name of sub-vote]</v>
      </c>
      <c r="E111" s="799"/>
    </row>
    <row r="112" spans="2:5" x14ac:dyDescent="0.2">
      <c r="B112" s="803" t="s">
        <v>806</v>
      </c>
      <c r="C112" s="802" t="s">
        <v>1024</v>
      </c>
      <c r="E112" s="799"/>
    </row>
    <row r="113" spans="2:5" x14ac:dyDescent="0.2">
      <c r="B113" s="801">
        <v>11.1</v>
      </c>
      <c r="C113" s="800" t="s">
        <v>1009</v>
      </c>
      <c r="D113" s="796" t="str">
        <f t="shared" ref="D113:D122" si="10">CONCATENATE(B113, " - ", C113)</f>
        <v>11.1 - [Name of sub-vote]</v>
      </c>
      <c r="E113" s="799" t="s">
        <v>1023</v>
      </c>
    </row>
    <row r="114" spans="2:5" x14ac:dyDescent="0.2">
      <c r="B114" s="801">
        <v>11.2</v>
      </c>
      <c r="C114" s="800" t="s">
        <v>1009</v>
      </c>
      <c r="D114" s="796" t="str">
        <f t="shared" si="10"/>
        <v>11.2 - [Name of sub-vote]</v>
      </c>
      <c r="E114" s="799"/>
    </row>
    <row r="115" spans="2:5" x14ac:dyDescent="0.2">
      <c r="B115" s="801">
        <v>11.3</v>
      </c>
      <c r="C115" s="800" t="s">
        <v>1009</v>
      </c>
      <c r="D115" s="796" t="str">
        <f t="shared" si="10"/>
        <v>11.3 - [Name of sub-vote]</v>
      </c>
      <c r="E115" s="799"/>
    </row>
    <row r="116" spans="2:5" x14ac:dyDescent="0.2">
      <c r="B116" s="801">
        <v>11.4</v>
      </c>
      <c r="C116" s="800" t="s">
        <v>1009</v>
      </c>
      <c r="D116" s="796" t="str">
        <f t="shared" si="10"/>
        <v>11.4 - [Name of sub-vote]</v>
      </c>
      <c r="E116" s="799"/>
    </row>
    <row r="117" spans="2:5" x14ac:dyDescent="0.2">
      <c r="B117" s="801">
        <v>11.5</v>
      </c>
      <c r="C117" s="800" t="s">
        <v>1009</v>
      </c>
      <c r="D117" s="796" t="str">
        <f t="shared" si="10"/>
        <v>11.5 - [Name of sub-vote]</v>
      </c>
      <c r="E117" s="799"/>
    </row>
    <row r="118" spans="2:5" x14ac:dyDescent="0.2">
      <c r="B118" s="801">
        <v>11.6</v>
      </c>
      <c r="C118" s="800" t="s">
        <v>1009</v>
      </c>
      <c r="D118" s="796" t="str">
        <f t="shared" si="10"/>
        <v>11.6 - [Name of sub-vote]</v>
      </c>
      <c r="E118" s="799"/>
    </row>
    <row r="119" spans="2:5" x14ac:dyDescent="0.2">
      <c r="B119" s="801">
        <v>11.7</v>
      </c>
      <c r="C119" s="800" t="s">
        <v>1009</v>
      </c>
      <c r="D119" s="796" t="str">
        <f t="shared" si="10"/>
        <v>11.7 - [Name of sub-vote]</v>
      </c>
      <c r="E119" s="799"/>
    </row>
    <row r="120" spans="2:5" x14ac:dyDescent="0.2">
      <c r="B120" s="801">
        <v>11.8</v>
      </c>
      <c r="C120" s="800" t="s">
        <v>1009</v>
      </c>
      <c r="D120" s="796" t="str">
        <f t="shared" si="10"/>
        <v>11.8 - [Name of sub-vote]</v>
      </c>
      <c r="E120" s="799"/>
    </row>
    <row r="121" spans="2:5" x14ac:dyDescent="0.2">
      <c r="B121" s="801">
        <v>11.9</v>
      </c>
      <c r="C121" s="800" t="s">
        <v>1009</v>
      </c>
      <c r="D121" s="796" t="str">
        <f t="shared" si="10"/>
        <v>11.9 - [Name of sub-vote]</v>
      </c>
      <c r="E121" s="799"/>
    </row>
    <row r="122" spans="2:5" x14ac:dyDescent="0.2">
      <c r="B122" s="801" t="s">
        <v>1022</v>
      </c>
      <c r="C122" s="800" t="s">
        <v>1009</v>
      </c>
      <c r="D122" s="796" t="str">
        <f t="shared" si="10"/>
        <v>11.10 - [Name of sub-vote]</v>
      </c>
      <c r="E122" s="799"/>
    </row>
    <row r="123" spans="2:5" x14ac:dyDescent="0.2">
      <c r="B123" s="803" t="s">
        <v>805</v>
      </c>
      <c r="C123" s="802" t="s">
        <v>1021</v>
      </c>
      <c r="E123" s="799"/>
    </row>
    <row r="124" spans="2:5" x14ac:dyDescent="0.2">
      <c r="B124" s="801">
        <v>12.1</v>
      </c>
      <c r="C124" s="800" t="s">
        <v>1009</v>
      </c>
      <c r="D124" s="796" t="str">
        <f t="shared" ref="D124:D133" si="11">CONCATENATE(B124, " - ", C124)</f>
        <v>12.1 - [Name of sub-vote]</v>
      </c>
      <c r="E124" s="799" t="s">
        <v>1020</v>
      </c>
    </row>
    <row r="125" spans="2:5" x14ac:dyDescent="0.2">
      <c r="B125" s="801">
        <v>12.2</v>
      </c>
      <c r="C125" s="800" t="s">
        <v>1009</v>
      </c>
      <c r="D125" s="796" t="str">
        <f t="shared" si="11"/>
        <v>12.2 - [Name of sub-vote]</v>
      </c>
      <c r="E125" s="799"/>
    </row>
    <row r="126" spans="2:5" x14ac:dyDescent="0.2">
      <c r="B126" s="801">
        <v>12.3</v>
      </c>
      <c r="C126" s="800" t="s">
        <v>1009</v>
      </c>
      <c r="D126" s="796" t="str">
        <f t="shared" si="11"/>
        <v>12.3 - [Name of sub-vote]</v>
      </c>
      <c r="E126" s="799"/>
    </row>
    <row r="127" spans="2:5" x14ac:dyDescent="0.2">
      <c r="B127" s="801">
        <v>12.4</v>
      </c>
      <c r="C127" s="800" t="s">
        <v>1009</v>
      </c>
      <c r="D127" s="796" t="str">
        <f t="shared" si="11"/>
        <v>12.4 - [Name of sub-vote]</v>
      </c>
      <c r="E127" s="799"/>
    </row>
    <row r="128" spans="2:5" x14ac:dyDescent="0.2">
      <c r="B128" s="801">
        <v>12.5</v>
      </c>
      <c r="C128" s="800" t="s">
        <v>1009</v>
      </c>
      <c r="D128" s="796" t="str">
        <f t="shared" si="11"/>
        <v>12.5 - [Name of sub-vote]</v>
      </c>
      <c r="E128" s="799"/>
    </row>
    <row r="129" spans="2:5" x14ac:dyDescent="0.2">
      <c r="B129" s="801">
        <v>12.6</v>
      </c>
      <c r="C129" s="800" t="s">
        <v>1009</v>
      </c>
      <c r="D129" s="796" t="str">
        <f t="shared" si="11"/>
        <v>12.6 - [Name of sub-vote]</v>
      </c>
      <c r="E129" s="799"/>
    </row>
    <row r="130" spans="2:5" x14ac:dyDescent="0.2">
      <c r="B130" s="801">
        <v>12.7</v>
      </c>
      <c r="C130" s="800" t="s">
        <v>1009</v>
      </c>
      <c r="D130" s="796" t="str">
        <f t="shared" si="11"/>
        <v>12.7 - [Name of sub-vote]</v>
      </c>
      <c r="E130" s="799"/>
    </row>
    <row r="131" spans="2:5" x14ac:dyDescent="0.2">
      <c r="B131" s="801">
        <v>12.8</v>
      </c>
      <c r="C131" s="800" t="s">
        <v>1009</v>
      </c>
      <c r="D131" s="796" t="str">
        <f t="shared" si="11"/>
        <v>12.8 - [Name of sub-vote]</v>
      </c>
      <c r="E131" s="799"/>
    </row>
    <row r="132" spans="2:5" x14ac:dyDescent="0.2">
      <c r="B132" s="801">
        <v>12.9</v>
      </c>
      <c r="C132" s="800" t="s">
        <v>1009</v>
      </c>
      <c r="D132" s="796" t="str">
        <f t="shared" si="11"/>
        <v>12.9 - [Name of sub-vote]</v>
      </c>
      <c r="E132" s="799"/>
    </row>
    <row r="133" spans="2:5" x14ac:dyDescent="0.2">
      <c r="B133" s="801" t="s">
        <v>1019</v>
      </c>
      <c r="C133" s="800" t="s">
        <v>1009</v>
      </c>
      <c r="D133" s="796" t="str">
        <f t="shared" si="11"/>
        <v>12.10 - [Name of sub-vote]</v>
      </c>
      <c r="E133" s="799"/>
    </row>
    <row r="134" spans="2:5" x14ac:dyDescent="0.2">
      <c r="B134" s="803" t="s">
        <v>804</v>
      </c>
      <c r="C134" s="802" t="s">
        <v>1018</v>
      </c>
      <c r="E134" s="799"/>
    </row>
    <row r="135" spans="2:5" x14ac:dyDescent="0.2">
      <c r="B135" s="801">
        <v>13.1</v>
      </c>
      <c r="C135" s="800" t="s">
        <v>1009</v>
      </c>
      <c r="D135" s="796" t="str">
        <f t="shared" ref="D135:D144" si="12">CONCATENATE(B135, " - ", C135)</f>
        <v>13.1 - [Name of sub-vote]</v>
      </c>
      <c r="E135" s="799" t="s">
        <v>1017</v>
      </c>
    </row>
    <row r="136" spans="2:5" x14ac:dyDescent="0.2">
      <c r="B136" s="801">
        <v>13.2</v>
      </c>
      <c r="C136" s="800" t="s">
        <v>1009</v>
      </c>
      <c r="D136" s="796" t="str">
        <f t="shared" si="12"/>
        <v>13.2 - [Name of sub-vote]</v>
      </c>
      <c r="E136" s="799"/>
    </row>
    <row r="137" spans="2:5" x14ac:dyDescent="0.2">
      <c r="B137" s="801">
        <v>13.3</v>
      </c>
      <c r="C137" s="800" t="s">
        <v>1009</v>
      </c>
      <c r="D137" s="796" t="str">
        <f t="shared" si="12"/>
        <v>13.3 - [Name of sub-vote]</v>
      </c>
      <c r="E137" s="799"/>
    </row>
    <row r="138" spans="2:5" x14ac:dyDescent="0.2">
      <c r="B138" s="801">
        <v>13.4</v>
      </c>
      <c r="C138" s="800" t="s">
        <v>1009</v>
      </c>
      <c r="D138" s="796" t="str">
        <f t="shared" si="12"/>
        <v>13.4 - [Name of sub-vote]</v>
      </c>
      <c r="E138" s="799"/>
    </row>
    <row r="139" spans="2:5" x14ac:dyDescent="0.2">
      <c r="B139" s="801">
        <v>13.5</v>
      </c>
      <c r="C139" s="800" t="s">
        <v>1009</v>
      </c>
      <c r="D139" s="796" t="str">
        <f t="shared" si="12"/>
        <v>13.5 - [Name of sub-vote]</v>
      </c>
      <c r="E139" s="799"/>
    </row>
    <row r="140" spans="2:5" x14ac:dyDescent="0.2">
      <c r="B140" s="801">
        <v>13.6</v>
      </c>
      <c r="C140" s="800" t="s">
        <v>1009</v>
      </c>
      <c r="D140" s="796" t="str">
        <f t="shared" si="12"/>
        <v>13.6 - [Name of sub-vote]</v>
      </c>
      <c r="E140" s="799"/>
    </row>
    <row r="141" spans="2:5" x14ac:dyDescent="0.2">
      <c r="B141" s="801">
        <v>13.7</v>
      </c>
      <c r="C141" s="800" t="s">
        <v>1009</v>
      </c>
      <c r="D141" s="796" t="str">
        <f t="shared" si="12"/>
        <v>13.7 - [Name of sub-vote]</v>
      </c>
      <c r="E141" s="799"/>
    </row>
    <row r="142" spans="2:5" x14ac:dyDescent="0.2">
      <c r="B142" s="801">
        <v>13.8</v>
      </c>
      <c r="C142" s="800" t="s">
        <v>1009</v>
      </c>
      <c r="D142" s="796" t="str">
        <f t="shared" si="12"/>
        <v>13.8 - [Name of sub-vote]</v>
      </c>
      <c r="E142" s="799"/>
    </row>
    <row r="143" spans="2:5" x14ac:dyDescent="0.2">
      <c r="B143" s="801">
        <v>13.9</v>
      </c>
      <c r="C143" s="800" t="s">
        <v>1009</v>
      </c>
      <c r="D143" s="796" t="str">
        <f t="shared" si="12"/>
        <v>13.9 - [Name of sub-vote]</v>
      </c>
      <c r="E143" s="799"/>
    </row>
    <row r="144" spans="2:5" x14ac:dyDescent="0.2">
      <c r="B144" s="801" t="s">
        <v>1016</v>
      </c>
      <c r="C144" s="800" t="s">
        <v>1009</v>
      </c>
      <c r="D144" s="796" t="str">
        <f t="shared" si="12"/>
        <v>13.10 - [Name of sub-vote]</v>
      </c>
      <c r="E144" s="799"/>
    </row>
    <row r="145" spans="2:5" x14ac:dyDescent="0.2">
      <c r="B145" s="803" t="s">
        <v>803</v>
      </c>
      <c r="C145" s="802" t="s">
        <v>1015</v>
      </c>
      <c r="E145" s="799"/>
    </row>
    <row r="146" spans="2:5" x14ac:dyDescent="0.2">
      <c r="B146" s="801">
        <v>14.1</v>
      </c>
      <c r="C146" s="800" t="s">
        <v>1009</v>
      </c>
      <c r="D146" s="796" t="str">
        <f t="shared" ref="D146:D155" si="13">CONCATENATE(B146, " - ", C146)</f>
        <v>14.1 - [Name of sub-vote]</v>
      </c>
      <c r="E146" s="799" t="s">
        <v>1014</v>
      </c>
    </row>
    <row r="147" spans="2:5" x14ac:dyDescent="0.2">
      <c r="B147" s="801">
        <v>14.2</v>
      </c>
      <c r="C147" s="800" t="s">
        <v>1009</v>
      </c>
      <c r="D147" s="796" t="str">
        <f t="shared" si="13"/>
        <v>14.2 - [Name of sub-vote]</v>
      </c>
      <c r="E147" s="799"/>
    </row>
    <row r="148" spans="2:5" x14ac:dyDescent="0.2">
      <c r="B148" s="801">
        <v>14.3</v>
      </c>
      <c r="C148" s="800" t="s">
        <v>1009</v>
      </c>
      <c r="D148" s="796" t="str">
        <f t="shared" si="13"/>
        <v>14.3 - [Name of sub-vote]</v>
      </c>
      <c r="E148" s="799"/>
    </row>
    <row r="149" spans="2:5" x14ac:dyDescent="0.2">
      <c r="B149" s="801">
        <v>14.4</v>
      </c>
      <c r="C149" s="800" t="s">
        <v>1009</v>
      </c>
      <c r="D149" s="796" t="str">
        <f t="shared" si="13"/>
        <v>14.4 - [Name of sub-vote]</v>
      </c>
      <c r="E149" s="799"/>
    </row>
    <row r="150" spans="2:5" x14ac:dyDescent="0.2">
      <c r="B150" s="801">
        <v>14.5</v>
      </c>
      <c r="C150" s="800" t="s">
        <v>1009</v>
      </c>
      <c r="D150" s="796" t="str">
        <f t="shared" si="13"/>
        <v>14.5 - [Name of sub-vote]</v>
      </c>
      <c r="E150" s="799"/>
    </row>
    <row r="151" spans="2:5" x14ac:dyDescent="0.2">
      <c r="B151" s="801">
        <v>14.6</v>
      </c>
      <c r="C151" s="800" t="s">
        <v>1009</v>
      </c>
      <c r="D151" s="796" t="str">
        <f t="shared" si="13"/>
        <v>14.6 - [Name of sub-vote]</v>
      </c>
      <c r="E151" s="799"/>
    </row>
    <row r="152" spans="2:5" x14ac:dyDescent="0.2">
      <c r="B152" s="801">
        <v>14.7</v>
      </c>
      <c r="C152" s="800" t="s">
        <v>1009</v>
      </c>
      <c r="D152" s="796" t="str">
        <f t="shared" si="13"/>
        <v>14.7 - [Name of sub-vote]</v>
      </c>
      <c r="E152" s="799"/>
    </row>
    <row r="153" spans="2:5" x14ac:dyDescent="0.2">
      <c r="B153" s="801">
        <v>14.8</v>
      </c>
      <c r="C153" s="800" t="s">
        <v>1009</v>
      </c>
      <c r="D153" s="796" t="str">
        <f t="shared" si="13"/>
        <v>14.8 - [Name of sub-vote]</v>
      </c>
      <c r="E153" s="799"/>
    </row>
    <row r="154" spans="2:5" x14ac:dyDescent="0.2">
      <c r="B154" s="801">
        <v>14.9</v>
      </c>
      <c r="C154" s="800" t="s">
        <v>1009</v>
      </c>
      <c r="D154" s="796" t="str">
        <f t="shared" si="13"/>
        <v>14.9 - [Name of sub-vote]</v>
      </c>
      <c r="E154" s="799"/>
    </row>
    <row r="155" spans="2:5" x14ac:dyDescent="0.2">
      <c r="B155" s="801" t="s">
        <v>1013</v>
      </c>
      <c r="C155" s="800" t="s">
        <v>1009</v>
      </c>
      <c r="D155" s="796" t="str">
        <f t="shared" si="13"/>
        <v>14.10 - [Name of sub-vote]</v>
      </c>
      <c r="E155" s="799"/>
    </row>
    <row r="156" spans="2:5" x14ac:dyDescent="0.2">
      <c r="B156" s="803" t="s">
        <v>802</v>
      </c>
      <c r="C156" s="802" t="s">
        <v>1012</v>
      </c>
      <c r="E156" s="799"/>
    </row>
    <row r="157" spans="2:5" x14ac:dyDescent="0.2">
      <c r="B157" s="801">
        <v>15.1</v>
      </c>
      <c r="C157" s="800" t="s">
        <v>1009</v>
      </c>
      <c r="D157" s="796" t="str">
        <f t="shared" ref="D157:D166" si="14">CONCATENATE(B157, " - ", C157)</f>
        <v>15.1 - [Name of sub-vote]</v>
      </c>
      <c r="E157" s="799" t="s">
        <v>1011</v>
      </c>
    </row>
    <row r="158" spans="2:5" x14ac:dyDescent="0.2">
      <c r="B158" s="801">
        <v>15.2</v>
      </c>
      <c r="C158" s="800" t="s">
        <v>1009</v>
      </c>
      <c r="D158" s="796" t="str">
        <f t="shared" si="14"/>
        <v>15.2 - [Name of sub-vote]</v>
      </c>
      <c r="E158" s="799"/>
    </row>
    <row r="159" spans="2:5" x14ac:dyDescent="0.2">
      <c r="B159" s="801">
        <v>15.3</v>
      </c>
      <c r="C159" s="800" t="s">
        <v>1009</v>
      </c>
      <c r="D159" s="796" t="str">
        <f t="shared" si="14"/>
        <v>15.3 - [Name of sub-vote]</v>
      </c>
      <c r="E159" s="799"/>
    </row>
    <row r="160" spans="2:5" x14ac:dyDescent="0.2">
      <c r="B160" s="801">
        <v>15.4</v>
      </c>
      <c r="C160" s="800" t="s">
        <v>1009</v>
      </c>
      <c r="D160" s="796" t="str">
        <f t="shared" si="14"/>
        <v>15.4 - [Name of sub-vote]</v>
      </c>
      <c r="E160" s="799"/>
    </row>
    <row r="161" spans="2:5" x14ac:dyDescent="0.2">
      <c r="B161" s="801">
        <v>15.5</v>
      </c>
      <c r="C161" s="800" t="s">
        <v>1009</v>
      </c>
      <c r="D161" s="796" t="str">
        <f t="shared" si="14"/>
        <v>15.5 - [Name of sub-vote]</v>
      </c>
      <c r="E161" s="799"/>
    </row>
    <row r="162" spans="2:5" x14ac:dyDescent="0.2">
      <c r="B162" s="801">
        <v>15.6</v>
      </c>
      <c r="C162" s="800" t="s">
        <v>1009</v>
      </c>
      <c r="D162" s="796" t="str">
        <f t="shared" si="14"/>
        <v>15.6 - [Name of sub-vote]</v>
      </c>
      <c r="E162" s="799"/>
    </row>
    <row r="163" spans="2:5" x14ac:dyDescent="0.2">
      <c r="B163" s="801">
        <v>15.7</v>
      </c>
      <c r="C163" s="800" t="s">
        <v>1009</v>
      </c>
      <c r="D163" s="796" t="str">
        <f t="shared" si="14"/>
        <v>15.7 - [Name of sub-vote]</v>
      </c>
      <c r="E163" s="799"/>
    </row>
    <row r="164" spans="2:5" x14ac:dyDescent="0.2">
      <c r="B164" s="801">
        <v>15.8</v>
      </c>
      <c r="C164" s="800" t="s">
        <v>1009</v>
      </c>
      <c r="D164" s="796" t="str">
        <f t="shared" si="14"/>
        <v>15.8 - [Name of sub-vote]</v>
      </c>
      <c r="E164" s="799"/>
    </row>
    <row r="165" spans="2:5" x14ac:dyDescent="0.2">
      <c r="B165" s="801">
        <v>15.9</v>
      </c>
      <c r="C165" s="800" t="s">
        <v>1009</v>
      </c>
      <c r="D165" s="796" t="str">
        <f t="shared" si="14"/>
        <v>15.9 - [Name of sub-vote]</v>
      </c>
      <c r="E165" s="799"/>
    </row>
    <row r="166" spans="2:5" x14ac:dyDescent="0.2">
      <c r="B166" s="801" t="s">
        <v>1010</v>
      </c>
      <c r="C166" s="800" t="s">
        <v>1009</v>
      </c>
      <c r="D166" s="796" t="str">
        <f t="shared" si="14"/>
        <v>15.10 - [Name of sub-vote]</v>
      </c>
      <c r="E166" s="799"/>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Y1584"/>
  <sheetViews>
    <sheetView showGridLines="0" tabSelected="1" topLeftCell="A70" workbookViewId="0">
      <selection activeCell="D32" sqref="D32:D39"/>
    </sheetView>
  </sheetViews>
  <sheetFormatPr defaultColWidth="9.140625" defaultRowHeight="12.75" x14ac:dyDescent="0.2"/>
  <cols>
    <col min="1" max="1" width="20.7109375" style="812" customWidth="1"/>
    <col min="2" max="2" width="40.7109375" style="812" customWidth="1"/>
    <col min="3" max="3" width="20.7109375" style="812" customWidth="1"/>
    <col min="4" max="4" width="40.7109375" style="812" customWidth="1"/>
    <col min="5" max="5" width="8.85546875" style="812" customWidth="1"/>
    <col min="6" max="10" width="8.7109375" style="813" customWidth="1"/>
    <col min="11" max="15" width="12.85546875" style="813" customWidth="1"/>
    <col min="16" max="17" width="30.7109375" style="813" customWidth="1"/>
    <col min="18" max="16384" width="9.140625" style="434"/>
  </cols>
  <sheetData>
    <row r="1" spans="1:17" ht="13.5" customHeight="1" x14ac:dyDescent="0.3">
      <c r="A1" s="685" t="str">
        <f>muni&amp;" - "&amp;" Contact Information"</f>
        <v>KZN225 Msunduzi -  Contact Information</v>
      </c>
      <c r="B1" s="811"/>
    </row>
    <row r="2" spans="1:17" ht="13.5" customHeight="1" x14ac:dyDescent="0.2">
      <c r="A2" s="814"/>
      <c r="B2" s="815"/>
      <c r="C2" s="814"/>
      <c r="D2" s="814"/>
    </row>
    <row r="3" spans="1:17" ht="13.5" customHeight="1" thickBot="1" x14ac:dyDescent="0.3">
      <c r="A3" s="816" t="s">
        <v>338</v>
      </c>
      <c r="B3" s="817"/>
      <c r="C3" s="814"/>
      <c r="D3" s="814"/>
    </row>
    <row r="4" spans="1:17" ht="13.5" customHeight="1" thickTop="1" x14ac:dyDescent="0.2">
      <c r="A4" s="818" t="s">
        <v>339</v>
      </c>
      <c r="B4" s="819" t="str">
        <f>muni</f>
        <v>KZN225 Msunduzi</v>
      </c>
      <c r="C4" s="820" t="s">
        <v>184</v>
      </c>
      <c r="D4" s="821"/>
      <c r="F4" s="822"/>
      <c r="G4" s="822"/>
      <c r="H4" s="822"/>
      <c r="I4" s="823"/>
      <c r="J4" s="822"/>
      <c r="K4" s="824"/>
      <c r="L4" s="824"/>
      <c r="M4" s="824"/>
      <c r="N4" s="824"/>
      <c r="O4" s="824"/>
      <c r="P4" s="825"/>
      <c r="Q4" s="826"/>
    </row>
    <row r="5" spans="1:17" ht="13.5" customHeight="1" x14ac:dyDescent="0.2">
      <c r="A5" s="827"/>
      <c r="B5" s="828"/>
      <c r="C5" s="821"/>
      <c r="D5" s="821"/>
      <c r="F5" s="822"/>
      <c r="G5" s="822"/>
      <c r="H5" s="822"/>
      <c r="I5" s="823"/>
      <c r="J5" s="822"/>
      <c r="K5" s="824"/>
      <c r="L5" s="824"/>
      <c r="M5" s="824"/>
      <c r="N5" s="824"/>
      <c r="O5" s="824"/>
      <c r="P5" s="825"/>
      <c r="Q5" s="829"/>
    </row>
    <row r="6" spans="1:17" s="835" customFormat="1" ht="13.5" customHeight="1" x14ac:dyDescent="0.25">
      <c r="A6" s="830" t="s">
        <v>340</v>
      </c>
      <c r="B6" s="831"/>
      <c r="C6" s="832" t="s">
        <v>341</v>
      </c>
      <c r="D6" s="833"/>
      <c r="E6" s="834"/>
      <c r="F6" s="822"/>
      <c r="G6" s="822"/>
      <c r="H6" s="823"/>
      <c r="I6" s="823"/>
      <c r="J6" s="822"/>
      <c r="K6" s="824"/>
      <c r="L6" s="824"/>
      <c r="M6" s="824"/>
      <c r="N6" s="824"/>
      <c r="O6" s="824"/>
      <c r="P6" s="825"/>
      <c r="Q6" s="826"/>
    </row>
    <row r="7" spans="1:17" s="835" customFormat="1" ht="13.5" customHeight="1" x14ac:dyDescent="0.2">
      <c r="A7" s="836"/>
      <c r="B7" s="837"/>
      <c r="C7" s="833"/>
      <c r="D7" s="833"/>
      <c r="E7" s="834"/>
      <c r="F7" s="822"/>
      <c r="G7" s="822"/>
      <c r="H7" s="823"/>
      <c r="I7" s="823"/>
      <c r="J7" s="822"/>
      <c r="K7" s="824"/>
      <c r="L7" s="824"/>
      <c r="M7" s="824"/>
      <c r="N7" s="824"/>
      <c r="O7" s="824"/>
      <c r="P7" s="825"/>
      <c r="Q7" s="826"/>
    </row>
    <row r="8" spans="1:17" s="835" customFormat="1" ht="13.5" customHeight="1" x14ac:dyDescent="0.2">
      <c r="A8" s="838" t="s">
        <v>342</v>
      </c>
      <c r="B8" s="839" t="str">
        <f>IF(B4&gt;" ",VLOOKUP(B4,'Lookup and lists'!B28:C311,2, FALSE)," ")</f>
        <v>KZN KWAZULU-NATAL</v>
      </c>
      <c r="C8" s="1023"/>
      <c r="D8" s="1023"/>
      <c r="E8" s="834"/>
      <c r="F8" s="822"/>
      <c r="G8" s="822"/>
      <c r="H8" s="823"/>
      <c r="I8" s="823"/>
      <c r="J8" s="822"/>
      <c r="K8" s="824"/>
      <c r="L8" s="824"/>
      <c r="M8" s="824"/>
      <c r="N8" s="824"/>
      <c r="O8" s="824"/>
      <c r="P8" s="825"/>
      <c r="Q8" s="826"/>
    </row>
    <row r="9" spans="1:17" s="835" customFormat="1" ht="13.5" customHeight="1" x14ac:dyDescent="0.2">
      <c r="A9" s="841"/>
      <c r="B9" s="842"/>
      <c r="C9" s="840"/>
      <c r="D9" s="840"/>
      <c r="E9" s="834"/>
      <c r="F9" s="822"/>
      <c r="G9" s="822"/>
      <c r="H9" s="823"/>
      <c r="I9" s="823"/>
      <c r="J9" s="822"/>
      <c r="K9" s="824"/>
      <c r="L9" s="824"/>
      <c r="M9" s="824"/>
      <c r="N9" s="824"/>
      <c r="O9" s="824"/>
      <c r="P9" s="825"/>
      <c r="Q9" s="826"/>
    </row>
    <row r="10" spans="1:17" ht="13.5" customHeight="1" x14ac:dyDescent="0.2">
      <c r="A10" s="843" t="s">
        <v>343</v>
      </c>
      <c r="B10" s="844" t="s">
        <v>1464</v>
      </c>
      <c r="C10" s="845"/>
      <c r="D10" s="846"/>
      <c r="F10" s="823"/>
      <c r="G10" s="822"/>
      <c r="H10" s="823"/>
      <c r="I10" s="823"/>
      <c r="J10" s="822"/>
      <c r="K10" s="824"/>
      <c r="L10" s="824"/>
      <c r="M10" s="824"/>
      <c r="N10" s="824"/>
      <c r="O10" s="824"/>
      <c r="P10" s="825"/>
      <c r="Q10" s="826"/>
    </row>
    <row r="11" spans="1:17" ht="13.5" customHeight="1" x14ac:dyDescent="0.2">
      <c r="A11" s="847"/>
      <c r="B11" s="848"/>
      <c r="C11" s="1024"/>
      <c r="D11" s="1025"/>
      <c r="F11" s="823"/>
      <c r="G11" s="822"/>
      <c r="H11" s="823"/>
      <c r="I11" s="823"/>
      <c r="J11" s="822"/>
      <c r="K11" s="824"/>
      <c r="L11" s="824"/>
      <c r="M11" s="824"/>
      <c r="N11" s="824"/>
      <c r="O11" s="824"/>
      <c r="P11" s="825"/>
      <c r="Q11" s="829"/>
    </row>
    <row r="12" spans="1:17" ht="13.5" customHeight="1" x14ac:dyDescent="0.2">
      <c r="A12" s="843" t="s">
        <v>344</v>
      </c>
      <c r="B12" s="849" t="s">
        <v>1465</v>
      </c>
      <c r="C12" s="850"/>
      <c r="D12" s="850"/>
      <c r="F12" s="823"/>
      <c r="G12" s="823"/>
      <c r="H12" s="823"/>
      <c r="I12" s="823"/>
      <c r="J12" s="822"/>
      <c r="K12" s="824"/>
      <c r="L12" s="824"/>
      <c r="M12" s="824"/>
      <c r="N12" s="824"/>
      <c r="O12" s="824"/>
      <c r="P12" s="825"/>
      <c r="Q12" s="826"/>
    </row>
    <row r="13" spans="1:17" ht="13.5" customHeight="1" x14ac:dyDescent="0.2">
      <c r="A13" s="851"/>
      <c r="B13" s="852"/>
      <c r="C13" s="1026"/>
      <c r="D13" s="1026"/>
      <c r="F13" s="823"/>
      <c r="G13" s="823"/>
      <c r="H13" s="823"/>
      <c r="I13" s="853"/>
      <c r="J13" s="823"/>
      <c r="K13" s="824"/>
      <c r="L13" s="824"/>
      <c r="M13" s="824"/>
      <c r="N13" s="824"/>
      <c r="O13" s="824"/>
      <c r="P13" s="825"/>
    </row>
    <row r="14" spans="1:17" ht="13.5" customHeight="1" thickBot="1" x14ac:dyDescent="0.25">
      <c r="A14" s="1027" t="s">
        <v>345</v>
      </c>
      <c r="B14" s="1028"/>
      <c r="C14" s="834"/>
      <c r="D14" s="834"/>
      <c r="F14" s="823"/>
      <c r="G14" s="823"/>
      <c r="H14" s="853"/>
      <c r="I14" s="854"/>
      <c r="J14" s="823"/>
      <c r="K14" s="824"/>
      <c r="L14" s="824"/>
      <c r="M14" s="824"/>
      <c r="N14" s="824"/>
      <c r="O14" s="824"/>
      <c r="P14" s="825"/>
    </row>
    <row r="15" spans="1:17" ht="13.5" customHeight="1" thickTop="1" x14ac:dyDescent="0.2">
      <c r="A15" s="855" t="s">
        <v>346</v>
      </c>
      <c r="B15" s="856"/>
      <c r="F15" s="853"/>
      <c r="G15" s="823"/>
      <c r="H15" s="854"/>
      <c r="I15" s="854"/>
      <c r="J15" s="823"/>
      <c r="K15" s="824"/>
      <c r="L15" s="824"/>
      <c r="M15" s="824"/>
      <c r="N15" s="824"/>
      <c r="O15" s="824"/>
      <c r="P15" s="825"/>
    </row>
    <row r="16" spans="1:17" s="835" customFormat="1" ht="13.5" customHeight="1" x14ac:dyDescent="0.2">
      <c r="A16" s="857" t="s">
        <v>347</v>
      </c>
      <c r="B16" s="858" t="s">
        <v>1461</v>
      </c>
      <c r="C16" s="812"/>
      <c r="D16" s="812"/>
      <c r="E16" s="834"/>
      <c r="F16" s="854"/>
      <c r="G16" s="853"/>
      <c r="H16" s="854"/>
      <c r="I16" s="854"/>
      <c r="J16" s="823"/>
      <c r="K16" s="824"/>
      <c r="L16" s="824"/>
      <c r="M16" s="824"/>
      <c r="N16" s="824"/>
      <c r="O16" s="824"/>
      <c r="P16" s="825"/>
      <c r="Q16" s="813"/>
    </row>
    <row r="17" spans="1:17" ht="13.5" customHeight="1" x14ac:dyDescent="0.2">
      <c r="A17" s="857" t="s">
        <v>348</v>
      </c>
      <c r="B17" s="858" t="s">
        <v>1460</v>
      </c>
      <c r="F17" s="854"/>
      <c r="G17" s="854"/>
      <c r="H17" s="854"/>
      <c r="I17" s="854"/>
      <c r="J17" s="853"/>
      <c r="K17" s="824"/>
      <c r="L17" s="824"/>
      <c r="M17" s="824"/>
      <c r="N17" s="824"/>
      <c r="O17" s="824"/>
      <c r="P17" s="825"/>
    </row>
    <row r="18" spans="1:17" ht="13.5" customHeight="1" x14ac:dyDescent="0.2">
      <c r="A18" s="859" t="s">
        <v>349</v>
      </c>
      <c r="B18" s="860">
        <v>3200</v>
      </c>
      <c r="F18" s="854"/>
      <c r="G18" s="854"/>
      <c r="H18" s="854"/>
      <c r="I18" s="854"/>
      <c r="J18" s="854"/>
      <c r="K18" s="824"/>
      <c r="L18" s="824"/>
      <c r="M18" s="824"/>
      <c r="N18" s="824"/>
      <c r="O18" s="824"/>
      <c r="P18" s="825"/>
    </row>
    <row r="19" spans="1:17" ht="13.5" customHeight="1" x14ac:dyDescent="0.2">
      <c r="A19" s="861"/>
      <c r="B19" s="862"/>
      <c r="F19" s="854"/>
      <c r="G19" s="854"/>
      <c r="H19" s="854"/>
      <c r="I19" s="854"/>
      <c r="J19" s="854"/>
      <c r="K19" s="824"/>
      <c r="L19" s="824"/>
      <c r="M19" s="824"/>
      <c r="N19" s="824"/>
      <c r="O19" s="824"/>
      <c r="P19" s="825"/>
    </row>
    <row r="20" spans="1:17" ht="13.5" customHeight="1" x14ac:dyDescent="0.2">
      <c r="A20" s="863" t="s">
        <v>350</v>
      </c>
      <c r="B20" s="864"/>
      <c r="F20" s="854"/>
      <c r="G20" s="854"/>
      <c r="H20" s="854"/>
      <c r="I20" s="854"/>
      <c r="J20" s="854"/>
      <c r="K20" s="824"/>
      <c r="L20" s="824"/>
      <c r="M20" s="824"/>
      <c r="N20" s="824"/>
      <c r="O20" s="824"/>
      <c r="P20" s="825"/>
    </row>
    <row r="21" spans="1:17" ht="13.5" customHeight="1" x14ac:dyDescent="0.2">
      <c r="A21" s="857" t="s">
        <v>351</v>
      </c>
      <c r="B21" s="858" t="s">
        <v>1462</v>
      </c>
      <c r="F21" s="854"/>
      <c r="G21" s="854"/>
      <c r="H21" s="854"/>
      <c r="I21" s="854"/>
      <c r="J21" s="854"/>
      <c r="K21" s="824"/>
      <c r="L21" s="824"/>
      <c r="M21" s="824"/>
      <c r="N21" s="824"/>
      <c r="O21" s="824"/>
      <c r="P21" s="825"/>
    </row>
    <row r="22" spans="1:17" ht="13.5" customHeight="1" x14ac:dyDescent="0.2">
      <c r="A22" s="857" t="s">
        <v>352</v>
      </c>
      <c r="B22" s="858" t="s">
        <v>1463</v>
      </c>
      <c r="F22" s="854"/>
      <c r="G22" s="854"/>
      <c r="H22" s="854"/>
      <c r="I22" s="854"/>
      <c r="J22" s="854"/>
      <c r="K22" s="824"/>
      <c r="L22" s="824"/>
      <c r="M22" s="824"/>
      <c r="N22" s="824"/>
      <c r="O22" s="824"/>
      <c r="P22" s="825"/>
    </row>
    <row r="23" spans="1:17" ht="13.5" customHeight="1" x14ac:dyDescent="0.2">
      <c r="A23" s="857" t="s">
        <v>348</v>
      </c>
      <c r="B23" s="858" t="s">
        <v>1460</v>
      </c>
      <c r="F23" s="854"/>
      <c r="G23" s="854"/>
      <c r="H23" s="854"/>
      <c r="I23" s="854"/>
      <c r="J23" s="854"/>
      <c r="K23" s="824"/>
      <c r="L23" s="824"/>
      <c r="M23" s="824"/>
      <c r="N23" s="824"/>
      <c r="O23" s="824"/>
      <c r="P23" s="825"/>
    </row>
    <row r="24" spans="1:17" ht="13.5" customHeight="1" x14ac:dyDescent="0.2">
      <c r="A24" s="859" t="s">
        <v>349</v>
      </c>
      <c r="B24" s="860">
        <v>3200</v>
      </c>
      <c r="F24" s="854"/>
      <c r="G24" s="854"/>
      <c r="H24" s="854"/>
      <c r="I24" s="854"/>
      <c r="J24" s="854"/>
      <c r="K24" s="824"/>
      <c r="L24" s="824"/>
      <c r="M24" s="824"/>
      <c r="N24" s="824"/>
      <c r="O24" s="824"/>
      <c r="P24" s="825"/>
    </row>
    <row r="25" spans="1:17" ht="13.5" customHeight="1" x14ac:dyDescent="0.2">
      <c r="A25" s="861"/>
      <c r="B25" s="862"/>
      <c r="D25" s="865"/>
      <c r="F25" s="854"/>
      <c r="G25" s="854"/>
      <c r="H25" s="854"/>
      <c r="I25" s="854"/>
      <c r="J25" s="854"/>
      <c r="K25" s="824"/>
      <c r="L25" s="824"/>
      <c r="M25" s="824"/>
      <c r="N25" s="824"/>
      <c r="O25" s="824"/>
      <c r="P25" s="825"/>
    </row>
    <row r="26" spans="1:17" ht="13.5" customHeight="1" x14ac:dyDescent="0.2">
      <c r="A26" s="863" t="s">
        <v>353</v>
      </c>
      <c r="B26" s="866"/>
      <c r="F26" s="854"/>
      <c r="G26" s="854"/>
      <c r="H26" s="854"/>
      <c r="I26" s="854"/>
      <c r="J26" s="854"/>
      <c r="K26" s="824"/>
      <c r="L26" s="824"/>
      <c r="M26" s="824"/>
      <c r="N26" s="824"/>
      <c r="O26" s="824"/>
      <c r="P26" s="825"/>
    </row>
    <row r="27" spans="1:17" ht="13.5" customHeight="1" x14ac:dyDescent="0.2">
      <c r="A27" s="857" t="s">
        <v>354</v>
      </c>
      <c r="B27" s="1090">
        <v>333923000</v>
      </c>
      <c r="F27" s="854"/>
      <c r="G27" s="854"/>
      <c r="H27" s="854"/>
      <c r="I27" s="854"/>
      <c r="J27" s="854"/>
      <c r="K27" s="824"/>
      <c r="L27" s="824"/>
      <c r="M27" s="824"/>
      <c r="N27" s="824"/>
      <c r="O27" s="824"/>
      <c r="P27" s="825"/>
    </row>
    <row r="28" spans="1:17" ht="13.5" customHeight="1" x14ac:dyDescent="0.2">
      <c r="A28" s="859" t="s">
        <v>355</v>
      </c>
      <c r="B28" s="1091">
        <v>824978725</v>
      </c>
      <c r="J28" s="854"/>
      <c r="K28" s="854"/>
      <c r="L28" s="854"/>
      <c r="M28" s="854"/>
      <c r="N28" s="854"/>
      <c r="O28" s="854"/>
      <c r="P28" s="825"/>
    </row>
    <row r="29" spans="1:17" ht="13.5" customHeight="1" x14ac:dyDescent="0.2">
      <c r="A29" s="861"/>
      <c r="B29" s="868"/>
      <c r="P29" s="825"/>
    </row>
    <row r="30" spans="1:17" ht="13.5" customHeight="1" thickBot="1" x14ac:dyDescent="0.25">
      <c r="A30" s="1029" t="s">
        <v>356</v>
      </c>
      <c r="B30" s="1030"/>
      <c r="C30" s="1021"/>
      <c r="D30" s="1031"/>
      <c r="P30" s="825"/>
    </row>
    <row r="31" spans="1:17" ht="13.5" customHeight="1" thickTop="1" x14ac:dyDescent="0.2">
      <c r="A31" s="863" t="s">
        <v>357</v>
      </c>
      <c r="B31" s="864"/>
      <c r="C31" s="1011" t="s">
        <v>358</v>
      </c>
      <c r="D31" s="1017"/>
      <c r="P31" s="825"/>
    </row>
    <row r="32" spans="1:17" s="921" customFormat="1" ht="13.5" customHeight="1" x14ac:dyDescent="0.2">
      <c r="A32" s="916" t="s">
        <v>1115</v>
      </c>
      <c r="B32" s="917"/>
      <c r="C32" s="916" t="s">
        <v>1115</v>
      </c>
      <c r="D32" s="917"/>
      <c r="E32" s="918"/>
      <c r="F32" s="919"/>
      <c r="G32" s="919"/>
      <c r="H32" s="919"/>
      <c r="I32" s="646"/>
      <c r="J32" s="646"/>
      <c r="K32" s="646"/>
      <c r="L32" s="646"/>
      <c r="M32" s="646"/>
      <c r="N32" s="646"/>
      <c r="O32" s="646"/>
      <c r="P32" s="920"/>
      <c r="Q32" s="646"/>
    </row>
    <row r="33" spans="1:17" s="921" customFormat="1" ht="13.5" customHeight="1" x14ac:dyDescent="0.2">
      <c r="A33" s="916" t="s">
        <v>1116</v>
      </c>
      <c r="B33" s="917"/>
      <c r="C33" s="916" t="s">
        <v>1116</v>
      </c>
      <c r="D33" s="917"/>
      <c r="E33" s="918"/>
      <c r="F33" s="919"/>
      <c r="G33" s="919"/>
      <c r="H33" s="919"/>
      <c r="I33" s="646"/>
      <c r="J33" s="646"/>
      <c r="K33" s="646"/>
      <c r="L33" s="646"/>
      <c r="M33" s="646"/>
      <c r="N33" s="646"/>
      <c r="O33" s="646"/>
      <c r="P33" s="920"/>
      <c r="Q33" s="646"/>
    </row>
    <row r="34" spans="1:17" ht="13.5" customHeight="1" x14ac:dyDescent="0.2">
      <c r="A34" s="857" t="s">
        <v>359</v>
      </c>
      <c r="B34" s="869"/>
      <c r="C34" s="857" t="s">
        <v>359</v>
      </c>
      <c r="D34" s="869" t="s">
        <v>1471</v>
      </c>
      <c r="P34" s="825"/>
    </row>
    <row r="35" spans="1:17" ht="13.5" customHeight="1" x14ac:dyDescent="0.2">
      <c r="A35" s="857" t="s">
        <v>354</v>
      </c>
      <c r="B35" s="869"/>
      <c r="C35" s="857" t="s">
        <v>354</v>
      </c>
      <c r="D35" s="1090">
        <v>333924594</v>
      </c>
      <c r="F35" s="822"/>
      <c r="G35" s="824"/>
      <c r="P35" s="825"/>
    </row>
    <row r="36" spans="1:17" ht="13.5" customHeight="1" x14ac:dyDescent="0.2">
      <c r="A36" s="857" t="s">
        <v>360</v>
      </c>
      <c r="B36" s="869"/>
      <c r="C36" s="857" t="s">
        <v>360</v>
      </c>
      <c r="D36" s="1090">
        <v>711567427</v>
      </c>
      <c r="F36" s="822"/>
      <c r="G36" s="824"/>
      <c r="P36" s="825"/>
    </row>
    <row r="37" spans="1:17" ht="13.5" customHeight="1" x14ac:dyDescent="0.2">
      <c r="A37" s="857" t="s">
        <v>355</v>
      </c>
      <c r="B37" s="869"/>
      <c r="C37" s="857" t="s">
        <v>355</v>
      </c>
      <c r="D37" s="869"/>
      <c r="F37" s="823"/>
      <c r="G37" s="824"/>
      <c r="P37" s="825"/>
    </row>
    <row r="38" spans="1:17" ht="13.5" customHeight="1" x14ac:dyDescent="0.2">
      <c r="A38" s="857" t="s">
        <v>361</v>
      </c>
      <c r="B38" s="869"/>
      <c r="C38" s="857" t="s">
        <v>361</v>
      </c>
      <c r="D38" s="869" t="s">
        <v>1470</v>
      </c>
      <c r="F38" s="823"/>
      <c r="G38" s="824"/>
      <c r="P38" s="825"/>
    </row>
    <row r="39" spans="1:17" ht="13.5" customHeight="1" x14ac:dyDescent="0.2">
      <c r="A39" s="857"/>
      <c r="B39" s="869"/>
      <c r="C39" s="857"/>
      <c r="D39" s="869"/>
      <c r="F39" s="823"/>
      <c r="G39" s="824"/>
      <c r="P39" s="825"/>
    </row>
    <row r="40" spans="1:17" ht="13.5" customHeight="1" x14ac:dyDescent="0.2">
      <c r="A40" s="1013" t="s">
        <v>362</v>
      </c>
      <c r="B40" s="1018"/>
      <c r="C40" s="1013" t="s">
        <v>363</v>
      </c>
      <c r="D40" s="1018"/>
      <c r="F40" s="823"/>
      <c r="G40" s="824"/>
      <c r="P40" s="825"/>
    </row>
    <row r="41" spans="1:17" s="921" customFormat="1" ht="13.5" customHeight="1" x14ac:dyDescent="0.2">
      <c r="A41" s="916" t="s">
        <v>1115</v>
      </c>
      <c r="B41" s="917"/>
      <c r="C41" s="916" t="s">
        <v>1115</v>
      </c>
      <c r="D41" s="917"/>
      <c r="E41" s="918"/>
      <c r="F41" s="919"/>
      <c r="G41" s="919"/>
      <c r="H41" s="919"/>
      <c r="I41" s="646"/>
      <c r="J41" s="646"/>
      <c r="K41" s="646"/>
      <c r="L41" s="646"/>
      <c r="M41" s="646"/>
      <c r="N41" s="646"/>
      <c r="O41" s="646"/>
      <c r="P41" s="920"/>
      <c r="Q41" s="646"/>
    </row>
    <row r="42" spans="1:17" s="921" customFormat="1" ht="13.5" customHeight="1" x14ac:dyDescent="0.2">
      <c r="A42" s="916" t="s">
        <v>1116</v>
      </c>
      <c r="B42" s="917"/>
      <c r="C42" s="916" t="s">
        <v>1116</v>
      </c>
      <c r="D42" s="917"/>
      <c r="E42" s="918"/>
      <c r="F42" s="919"/>
      <c r="G42" s="919"/>
      <c r="H42" s="919"/>
      <c r="I42" s="646"/>
      <c r="J42" s="646"/>
      <c r="K42" s="646"/>
      <c r="L42" s="646"/>
      <c r="M42" s="646"/>
      <c r="N42" s="646"/>
      <c r="O42" s="646"/>
      <c r="P42" s="920"/>
      <c r="Q42" s="646"/>
    </row>
    <row r="43" spans="1:17" ht="13.5" customHeight="1" x14ac:dyDescent="0.2">
      <c r="A43" s="857" t="s">
        <v>359</v>
      </c>
      <c r="B43" s="858" t="s">
        <v>1467</v>
      </c>
      <c r="C43" s="857" t="s">
        <v>359</v>
      </c>
      <c r="D43" s="858"/>
      <c r="F43" s="823"/>
      <c r="G43" s="824"/>
      <c r="P43" s="825"/>
    </row>
    <row r="44" spans="1:17" ht="13.5" customHeight="1" x14ac:dyDescent="0.2">
      <c r="A44" s="857" t="s">
        <v>354</v>
      </c>
      <c r="B44" s="1090">
        <v>333922036</v>
      </c>
      <c r="C44" s="857" t="s">
        <v>354</v>
      </c>
      <c r="D44" s="858"/>
      <c r="F44" s="853"/>
      <c r="G44" s="824"/>
      <c r="P44" s="825"/>
    </row>
    <row r="45" spans="1:17" ht="13.5" customHeight="1" x14ac:dyDescent="0.2">
      <c r="A45" s="857" t="s">
        <v>360</v>
      </c>
      <c r="B45" s="858"/>
      <c r="C45" s="857" t="s">
        <v>360</v>
      </c>
      <c r="D45" s="858"/>
      <c r="F45" s="854"/>
      <c r="G45" s="824"/>
      <c r="P45" s="825"/>
    </row>
    <row r="46" spans="1:17" ht="13.5" customHeight="1" x14ac:dyDescent="0.2">
      <c r="A46" s="857" t="s">
        <v>355</v>
      </c>
      <c r="B46" s="858"/>
      <c r="C46" s="857" t="s">
        <v>355</v>
      </c>
      <c r="D46" s="858"/>
      <c r="F46" s="854"/>
      <c r="G46" s="824"/>
      <c r="P46" s="825"/>
    </row>
    <row r="47" spans="1:17" ht="13.5" customHeight="1" x14ac:dyDescent="0.2">
      <c r="A47" s="870" t="s">
        <v>361</v>
      </c>
      <c r="B47" s="871" t="s">
        <v>1466</v>
      </c>
      <c r="C47" s="870" t="s">
        <v>361</v>
      </c>
      <c r="D47" s="871"/>
      <c r="F47" s="854"/>
      <c r="G47" s="824"/>
      <c r="P47" s="825"/>
    </row>
    <row r="48" spans="1:17" ht="13.5" customHeight="1" x14ac:dyDescent="0.2">
      <c r="A48" s="861"/>
      <c r="B48" s="868"/>
      <c r="C48" s="861"/>
      <c r="D48" s="868"/>
      <c r="F48" s="854"/>
      <c r="G48" s="824"/>
      <c r="P48" s="825"/>
    </row>
    <row r="49" spans="1:17" ht="13.5" customHeight="1" x14ac:dyDescent="0.2">
      <c r="A49" s="1013" t="s">
        <v>364</v>
      </c>
      <c r="B49" s="1018"/>
      <c r="C49" s="1013" t="s">
        <v>365</v>
      </c>
      <c r="D49" s="1018"/>
      <c r="F49" s="854"/>
      <c r="G49" s="824"/>
      <c r="P49" s="825"/>
    </row>
    <row r="50" spans="1:17" s="921" customFormat="1" ht="13.5" customHeight="1" x14ac:dyDescent="0.2">
      <c r="A50" s="916" t="s">
        <v>1115</v>
      </c>
      <c r="B50" s="917"/>
      <c r="C50" s="916" t="s">
        <v>1115</v>
      </c>
      <c r="D50" s="917"/>
      <c r="E50" s="918"/>
      <c r="F50" s="919"/>
      <c r="G50" s="919"/>
      <c r="H50" s="919"/>
      <c r="I50" s="646"/>
      <c r="J50" s="646"/>
      <c r="K50" s="646"/>
      <c r="L50" s="646"/>
      <c r="M50" s="646"/>
      <c r="N50" s="646"/>
      <c r="O50" s="646"/>
      <c r="P50" s="920"/>
      <c r="Q50" s="646"/>
    </row>
    <row r="51" spans="1:17" s="921" customFormat="1" ht="13.5" customHeight="1" x14ac:dyDescent="0.2">
      <c r="A51" s="916" t="s">
        <v>1116</v>
      </c>
      <c r="B51" s="917"/>
      <c r="C51" s="916" t="s">
        <v>1116</v>
      </c>
      <c r="D51" s="917"/>
      <c r="E51" s="918"/>
      <c r="F51" s="919"/>
      <c r="G51" s="919"/>
      <c r="H51" s="919"/>
      <c r="I51" s="646"/>
      <c r="J51" s="646"/>
      <c r="K51" s="646"/>
      <c r="L51" s="646"/>
      <c r="M51" s="646"/>
      <c r="N51" s="646"/>
      <c r="O51" s="646"/>
      <c r="P51" s="920"/>
      <c r="Q51" s="646"/>
    </row>
    <row r="52" spans="1:17" ht="13.5" customHeight="1" x14ac:dyDescent="0.2">
      <c r="A52" s="857" t="s">
        <v>359</v>
      </c>
      <c r="B52" s="858" t="s">
        <v>1469</v>
      </c>
      <c r="C52" s="857" t="s">
        <v>359</v>
      </c>
      <c r="D52" s="858"/>
      <c r="F52" s="854"/>
      <c r="G52" s="824"/>
      <c r="P52" s="825"/>
    </row>
    <row r="53" spans="1:17" ht="13.5" customHeight="1" x14ac:dyDescent="0.2">
      <c r="A53" s="857" t="s">
        <v>354</v>
      </c>
      <c r="B53" s="1090">
        <v>333924171</v>
      </c>
      <c r="C53" s="857" t="s">
        <v>354</v>
      </c>
      <c r="D53" s="858"/>
      <c r="F53" s="854"/>
      <c r="G53" s="824"/>
      <c r="P53" s="825"/>
    </row>
    <row r="54" spans="1:17" ht="13.5" customHeight="1" x14ac:dyDescent="0.2">
      <c r="A54" s="857" t="s">
        <v>360</v>
      </c>
      <c r="B54" s="1090">
        <v>823671810</v>
      </c>
      <c r="C54" s="857" t="s">
        <v>360</v>
      </c>
      <c r="D54" s="858"/>
      <c r="F54" s="854"/>
      <c r="G54" s="824"/>
      <c r="P54" s="825"/>
    </row>
    <row r="55" spans="1:17" s="813" customFormat="1" ht="13.5" customHeight="1" x14ac:dyDescent="0.2">
      <c r="A55" s="857" t="s">
        <v>355</v>
      </c>
      <c r="B55" s="858"/>
      <c r="C55" s="857" t="s">
        <v>355</v>
      </c>
      <c r="D55" s="858"/>
      <c r="E55" s="812"/>
      <c r="F55" s="854"/>
      <c r="G55" s="824"/>
      <c r="P55" s="825"/>
    </row>
    <row r="56" spans="1:17" s="813" customFormat="1" ht="13.5" customHeight="1" x14ac:dyDescent="0.2">
      <c r="A56" s="859" t="s">
        <v>361</v>
      </c>
      <c r="B56" s="867" t="s">
        <v>1468</v>
      </c>
      <c r="C56" s="859" t="s">
        <v>361</v>
      </c>
      <c r="D56" s="867"/>
      <c r="E56" s="812"/>
      <c r="F56" s="854"/>
      <c r="G56" s="824"/>
      <c r="P56" s="825"/>
    </row>
    <row r="57" spans="1:17" s="813" customFormat="1" ht="13.5" customHeight="1" x14ac:dyDescent="0.2">
      <c r="A57" s="861"/>
      <c r="B57" s="868"/>
      <c r="C57" s="861"/>
      <c r="D57" s="868"/>
      <c r="E57" s="812"/>
      <c r="F57" s="854"/>
      <c r="G57" s="824"/>
      <c r="P57" s="825"/>
    </row>
    <row r="58" spans="1:17" s="813" customFormat="1" ht="13.5" customHeight="1" thickBot="1" x14ac:dyDescent="0.25">
      <c r="A58" s="1019" t="s">
        <v>366</v>
      </c>
      <c r="B58" s="1020"/>
      <c r="C58" s="1021"/>
      <c r="D58" s="1022"/>
      <c r="E58" s="812"/>
      <c r="F58" s="854"/>
      <c r="G58" s="824"/>
      <c r="P58" s="825"/>
    </row>
    <row r="59" spans="1:17" s="874" customFormat="1" ht="13.5" customHeight="1" thickTop="1" x14ac:dyDescent="0.2">
      <c r="A59" s="863" t="s">
        <v>367</v>
      </c>
      <c r="B59" s="864"/>
      <c r="C59" s="1011" t="s">
        <v>368</v>
      </c>
      <c r="D59" s="1012"/>
      <c r="E59" s="814"/>
      <c r="F59" s="872"/>
      <c r="G59" s="873"/>
      <c r="P59" s="825"/>
      <c r="Q59" s="813"/>
    </row>
    <row r="60" spans="1:17" s="921" customFormat="1" ht="13.5" customHeight="1" x14ac:dyDescent="0.2">
      <c r="A60" s="916" t="s">
        <v>1115</v>
      </c>
      <c r="B60" s="917"/>
      <c r="C60" s="916" t="s">
        <v>1115</v>
      </c>
      <c r="D60" s="917"/>
      <c r="E60" s="918"/>
      <c r="F60" s="919"/>
      <c r="G60" s="919"/>
      <c r="H60" s="919"/>
      <c r="I60" s="646"/>
      <c r="J60" s="646"/>
      <c r="K60" s="646"/>
      <c r="L60" s="646"/>
      <c r="M60" s="646"/>
      <c r="N60" s="646"/>
      <c r="O60" s="646"/>
      <c r="P60" s="920"/>
      <c r="Q60" s="646"/>
    </row>
    <row r="61" spans="1:17" s="921" customFormat="1" ht="13.5" customHeight="1" x14ac:dyDescent="0.2">
      <c r="A61" s="916" t="s">
        <v>1116</v>
      </c>
      <c r="B61" s="917"/>
      <c r="C61" s="916" t="s">
        <v>1116</v>
      </c>
      <c r="D61" s="917"/>
      <c r="E61" s="918"/>
      <c r="F61" s="919"/>
      <c r="G61" s="919"/>
      <c r="H61" s="919"/>
      <c r="I61" s="646"/>
      <c r="J61" s="646"/>
      <c r="K61" s="646"/>
      <c r="L61" s="646"/>
      <c r="M61" s="646"/>
      <c r="N61" s="646"/>
      <c r="O61" s="646"/>
      <c r="P61" s="920"/>
      <c r="Q61" s="646"/>
    </row>
    <row r="62" spans="1:17" s="874" customFormat="1" ht="13.5" customHeight="1" x14ac:dyDescent="0.2">
      <c r="A62" s="857" t="s">
        <v>359</v>
      </c>
      <c r="B62" s="858"/>
      <c r="C62" s="857" t="s">
        <v>359</v>
      </c>
      <c r="D62" s="858"/>
      <c r="E62" s="814"/>
      <c r="F62" s="872"/>
      <c r="G62" s="873"/>
      <c r="P62" s="825"/>
      <c r="Q62" s="813"/>
    </row>
    <row r="63" spans="1:17" s="813" customFormat="1" ht="13.5" customHeight="1" x14ac:dyDescent="0.2">
      <c r="A63" s="857" t="s">
        <v>354</v>
      </c>
      <c r="B63" s="858"/>
      <c r="C63" s="857" t="s">
        <v>354</v>
      </c>
      <c r="D63" s="858"/>
      <c r="E63" s="812"/>
      <c r="F63" s="854"/>
      <c r="G63" s="824"/>
      <c r="P63" s="825"/>
    </row>
    <row r="64" spans="1:17" s="813" customFormat="1" ht="13.5" customHeight="1" x14ac:dyDescent="0.2">
      <c r="A64" s="857" t="s">
        <v>360</v>
      </c>
      <c r="B64" s="858"/>
      <c r="C64" s="857" t="s">
        <v>360</v>
      </c>
      <c r="D64" s="858"/>
      <c r="E64" s="812"/>
      <c r="F64" s="854"/>
      <c r="G64" s="824"/>
      <c r="P64" s="825"/>
    </row>
    <row r="65" spans="1:17" s="813" customFormat="1" ht="13.5" customHeight="1" x14ac:dyDescent="0.2">
      <c r="A65" s="857" t="s">
        <v>355</v>
      </c>
      <c r="B65" s="858"/>
      <c r="C65" s="857" t="s">
        <v>355</v>
      </c>
      <c r="D65" s="858"/>
      <c r="E65" s="812"/>
      <c r="F65" s="854"/>
      <c r="G65" s="824"/>
      <c r="P65" s="825"/>
    </row>
    <row r="66" spans="1:17" ht="13.5" customHeight="1" x14ac:dyDescent="0.2">
      <c r="A66" s="859" t="s">
        <v>361</v>
      </c>
      <c r="B66" s="867"/>
      <c r="C66" s="859" t="s">
        <v>361</v>
      </c>
      <c r="D66" s="867"/>
      <c r="F66" s="854"/>
      <c r="G66" s="824"/>
      <c r="P66" s="825"/>
    </row>
    <row r="67" spans="1:17" ht="13.5" customHeight="1" x14ac:dyDescent="0.2">
      <c r="A67" s="861"/>
      <c r="B67" s="868"/>
      <c r="C67" s="861"/>
      <c r="D67" s="868"/>
      <c r="F67" s="854"/>
      <c r="G67" s="824"/>
      <c r="P67" s="825"/>
    </row>
    <row r="68" spans="1:17" ht="13.5" customHeight="1" x14ac:dyDescent="0.2">
      <c r="A68" s="875" t="s">
        <v>369</v>
      </c>
      <c r="B68" s="866"/>
      <c r="C68" s="1013" t="s">
        <v>370</v>
      </c>
      <c r="D68" s="1014"/>
      <c r="F68" s="854"/>
      <c r="G68" s="824"/>
      <c r="P68" s="825"/>
    </row>
    <row r="69" spans="1:17" s="921" customFormat="1" ht="13.5" customHeight="1" x14ac:dyDescent="0.2">
      <c r="A69" s="916" t="s">
        <v>1115</v>
      </c>
      <c r="B69" s="917"/>
      <c r="C69" s="916" t="s">
        <v>1115</v>
      </c>
      <c r="D69" s="917"/>
      <c r="E69" s="918"/>
      <c r="F69" s="919"/>
      <c r="G69" s="919"/>
      <c r="H69" s="919"/>
      <c r="I69" s="646"/>
      <c r="J69" s="646"/>
      <c r="K69" s="646"/>
      <c r="L69" s="646"/>
      <c r="M69" s="646"/>
      <c r="N69" s="646"/>
      <c r="O69" s="646"/>
      <c r="P69" s="920"/>
      <c r="Q69" s="646"/>
    </row>
    <row r="70" spans="1:17" s="921" customFormat="1" ht="13.5" customHeight="1" x14ac:dyDescent="0.2">
      <c r="A70" s="916" t="s">
        <v>1116</v>
      </c>
      <c r="B70" s="917"/>
      <c r="C70" s="916" t="s">
        <v>1116</v>
      </c>
      <c r="D70" s="917"/>
      <c r="E70" s="918"/>
      <c r="F70" s="919"/>
      <c r="G70" s="919"/>
      <c r="H70" s="919"/>
      <c r="I70" s="646"/>
      <c r="J70" s="646"/>
      <c r="K70" s="646"/>
      <c r="L70" s="646"/>
      <c r="M70" s="646"/>
      <c r="N70" s="646"/>
      <c r="O70" s="646"/>
      <c r="P70" s="920"/>
      <c r="Q70" s="646"/>
    </row>
    <row r="71" spans="1:17" s="876" customFormat="1" ht="13.5" customHeight="1" x14ac:dyDescent="0.2">
      <c r="A71" s="857" t="s">
        <v>359</v>
      </c>
      <c r="B71" s="858" t="s">
        <v>1449</v>
      </c>
      <c r="C71" s="857" t="s">
        <v>359</v>
      </c>
      <c r="D71" s="858"/>
      <c r="E71" s="814"/>
      <c r="F71" s="872"/>
      <c r="G71" s="873"/>
      <c r="H71" s="874"/>
      <c r="I71" s="874"/>
      <c r="J71" s="874"/>
      <c r="K71" s="874"/>
      <c r="L71" s="874"/>
      <c r="M71" s="874"/>
      <c r="N71" s="874"/>
      <c r="O71" s="874"/>
      <c r="P71" s="825"/>
      <c r="Q71" s="813"/>
    </row>
    <row r="72" spans="1:17" ht="13.5" customHeight="1" x14ac:dyDescent="0.2">
      <c r="A72" s="857" t="s">
        <v>354</v>
      </c>
      <c r="B72" s="858" t="s">
        <v>1448</v>
      </c>
      <c r="C72" s="857" t="s">
        <v>354</v>
      </c>
      <c r="D72" s="858"/>
      <c r="F72" s="854"/>
      <c r="G72" s="824"/>
      <c r="P72" s="825"/>
    </row>
    <row r="73" spans="1:17" ht="13.5" customHeight="1" x14ac:dyDescent="0.2">
      <c r="A73" s="857" t="s">
        <v>360</v>
      </c>
      <c r="B73" s="858"/>
      <c r="C73" s="857" t="s">
        <v>360</v>
      </c>
      <c r="D73" s="858"/>
      <c r="F73" s="854"/>
      <c r="G73" s="824"/>
      <c r="P73" s="825"/>
    </row>
    <row r="74" spans="1:17" ht="13.5" customHeight="1" x14ac:dyDescent="0.2">
      <c r="A74" s="857" t="s">
        <v>355</v>
      </c>
      <c r="B74" s="858"/>
      <c r="C74" s="857" t="s">
        <v>355</v>
      </c>
      <c r="D74" s="858"/>
      <c r="F74" s="854"/>
      <c r="G74" s="824"/>
      <c r="P74" s="825"/>
    </row>
    <row r="75" spans="1:17" ht="13.5" customHeight="1" x14ac:dyDescent="0.2">
      <c r="A75" s="859" t="s">
        <v>361</v>
      </c>
      <c r="B75" s="867"/>
      <c r="C75" s="859" t="s">
        <v>361</v>
      </c>
      <c r="D75" s="867"/>
      <c r="F75" s="854"/>
      <c r="G75" s="824"/>
      <c r="P75" s="825"/>
    </row>
    <row r="76" spans="1:17" ht="13.5" customHeight="1" x14ac:dyDescent="0.2">
      <c r="A76" s="861"/>
      <c r="B76" s="868"/>
      <c r="C76" s="861"/>
      <c r="D76" s="868"/>
      <c r="F76" s="854"/>
      <c r="G76" s="824"/>
      <c r="P76" s="825"/>
    </row>
    <row r="77" spans="1:17" s="921" customFormat="1" ht="13.5" customHeight="1" x14ac:dyDescent="0.2">
      <c r="A77" s="1015" t="s">
        <v>371</v>
      </c>
      <c r="B77" s="1016"/>
      <c r="C77" s="1015" t="s">
        <v>371</v>
      </c>
      <c r="D77" s="1016"/>
      <c r="E77" s="918"/>
      <c r="F77" s="922"/>
      <c r="G77" s="923"/>
      <c r="H77" s="919"/>
      <c r="I77" s="646"/>
      <c r="J77" s="646"/>
      <c r="K77" s="646"/>
      <c r="L77" s="646"/>
      <c r="M77" s="646"/>
      <c r="N77" s="646"/>
      <c r="O77" s="646"/>
      <c r="P77" s="920"/>
      <c r="Q77" s="919"/>
    </row>
    <row r="78" spans="1:17" s="921" customFormat="1" ht="13.5" customHeight="1" x14ac:dyDescent="0.2">
      <c r="A78" s="916" t="s">
        <v>1115</v>
      </c>
      <c r="B78" s="917"/>
      <c r="C78" s="916" t="s">
        <v>1115</v>
      </c>
      <c r="D78" s="917"/>
      <c r="E78" s="918"/>
      <c r="F78" s="919"/>
      <c r="G78" s="919"/>
      <c r="H78" s="919"/>
      <c r="I78" s="646"/>
      <c r="J78" s="646"/>
      <c r="K78" s="646"/>
      <c r="L78" s="646"/>
      <c r="M78" s="646"/>
      <c r="N78" s="646"/>
      <c r="O78" s="646"/>
      <c r="P78" s="920"/>
      <c r="Q78" s="646"/>
    </row>
    <row r="79" spans="1:17" s="921" customFormat="1" ht="13.5" customHeight="1" x14ac:dyDescent="0.2">
      <c r="A79" s="916" t="s">
        <v>1116</v>
      </c>
      <c r="B79" s="917"/>
      <c r="C79" s="916" t="s">
        <v>1116</v>
      </c>
      <c r="D79" s="917"/>
      <c r="E79" s="918"/>
      <c r="F79" s="919"/>
      <c r="G79" s="919"/>
      <c r="H79" s="919"/>
      <c r="I79" s="646"/>
      <c r="J79" s="646"/>
      <c r="K79" s="646"/>
      <c r="L79" s="646"/>
      <c r="M79" s="646"/>
      <c r="N79" s="646"/>
      <c r="O79" s="646"/>
      <c r="P79" s="920"/>
      <c r="Q79" s="646"/>
    </row>
    <row r="80" spans="1:17" s="929" customFormat="1" ht="13.5" customHeight="1" x14ac:dyDescent="0.2">
      <c r="A80" s="916" t="s">
        <v>359</v>
      </c>
      <c r="B80" s="917"/>
      <c r="C80" s="916" t="s">
        <v>359</v>
      </c>
      <c r="D80" s="917"/>
      <c r="E80" s="924"/>
      <c r="F80" s="925"/>
      <c r="G80" s="926"/>
      <c r="H80" s="927"/>
      <c r="I80" s="928"/>
      <c r="J80" s="928"/>
      <c r="K80" s="928"/>
      <c r="L80" s="928"/>
      <c r="M80" s="928"/>
      <c r="N80" s="928"/>
      <c r="O80" s="928"/>
      <c r="P80" s="920"/>
      <c r="Q80" s="919"/>
    </row>
    <row r="81" spans="1:17" s="921" customFormat="1" ht="13.5" customHeight="1" x14ac:dyDescent="0.2">
      <c r="A81" s="916" t="s">
        <v>354</v>
      </c>
      <c r="B81" s="917"/>
      <c r="C81" s="916" t="s">
        <v>354</v>
      </c>
      <c r="D81" s="917"/>
      <c r="E81" s="918"/>
      <c r="F81" s="922"/>
      <c r="G81" s="923"/>
      <c r="H81" s="919"/>
      <c r="I81" s="646"/>
      <c r="J81" s="646"/>
      <c r="K81" s="646"/>
      <c r="L81" s="646"/>
      <c r="M81" s="646"/>
      <c r="N81" s="646"/>
      <c r="O81" s="646"/>
      <c r="P81" s="920"/>
      <c r="Q81" s="919"/>
    </row>
    <row r="82" spans="1:17" s="921" customFormat="1" ht="13.5" customHeight="1" x14ac:dyDescent="0.2">
      <c r="A82" s="916" t="s">
        <v>360</v>
      </c>
      <c r="B82" s="917"/>
      <c r="C82" s="916" t="s">
        <v>360</v>
      </c>
      <c r="D82" s="917"/>
      <c r="E82" s="918"/>
      <c r="F82" s="922"/>
      <c r="G82" s="923"/>
      <c r="H82" s="919"/>
      <c r="I82" s="646"/>
      <c r="J82" s="646"/>
      <c r="K82" s="646"/>
      <c r="L82" s="646"/>
      <c r="M82" s="646"/>
      <c r="N82" s="646"/>
      <c r="O82" s="646"/>
      <c r="P82" s="920"/>
      <c r="Q82" s="919"/>
    </row>
    <row r="83" spans="1:17" s="921" customFormat="1" ht="13.5" customHeight="1" x14ac:dyDescent="0.2">
      <c r="A83" s="916" t="s">
        <v>355</v>
      </c>
      <c r="B83" s="917"/>
      <c r="C83" s="916" t="s">
        <v>355</v>
      </c>
      <c r="D83" s="917"/>
      <c r="E83" s="918"/>
      <c r="F83" s="922"/>
      <c r="G83" s="923"/>
      <c r="H83" s="919"/>
      <c r="I83" s="646"/>
      <c r="J83" s="646"/>
      <c r="K83" s="646"/>
      <c r="L83" s="646"/>
      <c r="M83" s="646"/>
      <c r="N83" s="646"/>
      <c r="O83" s="646"/>
      <c r="P83" s="920"/>
      <c r="Q83" s="919"/>
    </row>
    <row r="84" spans="1:17" s="921" customFormat="1" ht="13.5" customHeight="1" x14ac:dyDescent="0.2">
      <c r="A84" s="916" t="s">
        <v>361</v>
      </c>
      <c r="B84" s="917"/>
      <c r="C84" s="916" t="s">
        <v>361</v>
      </c>
      <c r="D84" s="917"/>
      <c r="E84" s="918"/>
      <c r="F84" s="922"/>
      <c r="G84" s="923"/>
      <c r="H84" s="919"/>
      <c r="I84" s="646"/>
      <c r="J84" s="646"/>
      <c r="K84" s="646"/>
      <c r="L84" s="646"/>
      <c r="M84" s="646"/>
      <c r="N84" s="646"/>
      <c r="O84" s="646"/>
      <c r="P84" s="920"/>
      <c r="Q84" s="919"/>
    </row>
    <row r="85" spans="1:17" s="921" customFormat="1" ht="13.5" customHeight="1" x14ac:dyDescent="0.2">
      <c r="A85" s="1015" t="s">
        <v>371</v>
      </c>
      <c r="B85" s="1016"/>
      <c r="C85" s="1015" t="s">
        <v>371</v>
      </c>
      <c r="D85" s="1016"/>
      <c r="E85" s="918"/>
      <c r="F85" s="922"/>
      <c r="G85" s="923"/>
      <c r="H85" s="919"/>
      <c r="I85" s="646"/>
      <c r="J85" s="646"/>
      <c r="K85" s="646"/>
      <c r="L85" s="646"/>
      <c r="M85" s="646"/>
      <c r="N85" s="646"/>
      <c r="O85" s="646"/>
      <c r="P85" s="920"/>
      <c r="Q85" s="919"/>
    </row>
    <row r="86" spans="1:17" s="921" customFormat="1" ht="13.5" customHeight="1" x14ac:dyDescent="0.2">
      <c r="A86" s="916" t="s">
        <v>1115</v>
      </c>
      <c r="B86" s="917"/>
      <c r="C86" s="916" t="s">
        <v>1115</v>
      </c>
      <c r="D86" s="917"/>
      <c r="E86" s="918"/>
      <c r="F86" s="919"/>
      <c r="G86" s="919"/>
      <c r="H86" s="919"/>
      <c r="I86" s="646"/>
      <c r="J86" s="646"/>
      <c r="K86" s="646"/>
      <c r="L86" s="646"/>
      <c r="M86" s="646"/>
      <c r="N86" s="646"/>
      <c r="O86" s="646"/>
      <c r="P86" s="920"/>
      <c r="Q86" s="646"/>
    </row>
    <row r="87" spans="1:17" s="921" customFormat="1" ht="13.5" customHeight="1" x14ac:dyDescent="0.2">
      <c r="A87" s="916" t="s">
        <v>1116</v>
      </c>
      <c r="B87" s="917"/>
      <c r="C87" s="916" t="s">
        <v>1116</v>
      </c>
      <c r="D87" s="917"/>
      <c r="E87" s="918"/>
      <c r="F87" s="919"/>
      <c r="G87" s="919"/>
      <c r="H87" s="919"/>
      <c r="I87" s="646"/>
      <c r="J87" s="646"/>
      <c r="K87" s="646"/>
      <c r="L87" s="646"/>
      <c r="M87" s="646"/>
      <c r="N87" s="646"/>
      <c r="O87" s="646"/>
      <c r="P87" s="920"/>
      <c r="Q87" s="646"/>
    </row>
    <row r="88" spans="1:17" s="921" customFormat="1" ht="13.5" customHeight="1" x14ac:dyDescent="0.2">
      <c r="A88" s="916" t="s">
        <v>359</v>
      </c>
      <c r="B88" s="917"/>
      <c r="C88" s="916" t="s">
        <v>359</v>
      </c>
      <c r="D88" s="917"/>
      <c r="E88" s="918"/>
      <c r="F88" s="922"/>
      <c r="G88" s="923"/>
      <c r="H88" s="919"/>
      <c r="I88" s="646"/>
      <c r="J88" s="646"/>
      <c r="K88" s="646"/>
      <c r="L88" s="646"/>
      <c r="M88" s="646"/>
      <c r="N88" s="646"/>
      <c r="O88" s="646"/>
      <c r="P88" s="920"/>
      <c r="Q88" s="919"/>
    </row>
    <row r="89" spans="1:17" s="921" customFormat="1" ht="13.5" customHeight="1" x14ac:dyDescent="0.2">
      <c r="A89" s="916" t="s">
        <v>354</v>
      </c>
      <c r="B89" s="917"/>
      <c r="C89" s="916" t="s">
        <v>354</v>
      </c>
      <c r="D89" s="917"/>
      <c r="E89" s="918"/>
      <c r="F89" s="922"/>
      <c r="G89" s="923"/>
      <c r="H89" s="919"/>
      <c r="I89" s="646"/>
      <c r="J89" s="646"/>
      <c r="K89" s="646"/>
      <c r="L89" s="646"/>
      <c r="M89" s="646"/>
      <c r="N89" s="646"/>
      <c r="O89" s="646"/>
      <c r="P89" s="920"/>
      <c r="Q89" s="919"/>
    </row>
    <row r="90" spans="1:17" s="919" customFormat="1" ht="13.5" customHeight="1" x14ac:dyDescent="0.2">
      <c r="A90" s="916" t="s">
        <v>360</v>
      </c>
      <c r="B90" s="917"/>
      <c r="C90" s="916" t="s">
        <v>360</v>
      </c>
      <c r="D90" s="917"/>
      <c r="E90" s="918"/>
      <c r="F90" s="922"/>
      <c r="G90" s="923"/>
      <c r="I90" s="646"/>
      <c r="J90" s="646"/>
      <c r="K90" s="646"/>
      <c r="L90" s="646"/>
      <c r="M90" s="646"/>
      <c r="N90" s="646"/>
      <c r="O90" s="646"/>
      <c r="P90" s="920"/>
    </row>
    <row r="91" spans="1:17" s="919" customFormat="1" ht="13.5" customHeight="1" x14ac:dyDescent="0.2">
      <c r="A91" s="916" t="s">
        <v>355</v>
      </c>
      <c r="B91" s="917"/>
      <c r="C91" s="916" t="s">
        <v>355</v>
      </c>
      <c r="D91" s="917"/>
      <c r="E91" s="918"/>
      <c r="F91" s="922"/>
      <c r="G91" s="923"/>
      <c r="I91" s="646"/>
      <c r="J91" s="646"/>
      <c r="K91" s="646"/>
      <c r="L91" s="646"/>
      <c r="M91" s="646"/>
      <c r="N91" s="646"/>
      <c r="O91" s="646"/>
      <c r="P91" s="920"/>
    </row>
    <row r="92" spans="1:17" s="919" customFormat="1" ht="13.5" customHeight="1" x14ac:dyDescent="0.2">
      <c r="A92" s="916" t="s">
        <v>361</v>
      </c>
      <c r="B92" s="917"/>
      <c r="C92" s="916" t="s">
        <v>361</v>
      </c>
      <c r="D92" s="917"/>
      <c r="E92" s="918"/>
      <c r="F92" s="922"/>
      <c r="G92" s="923"/>
      <c r="I92" s="646"/>
      <c r="J92" s="646"/>
      <c r="K92" s="646"/>
      <c r="L92" s="646"/>
      <c r="M92" s="646"/>
      <c r="N92" s="646"/>
      <c r="O92" s="646"/>
      <c r="P92" s="920"/>
    </row>
    <row r="93" spans="1:17" s="919" customFormat="1" ht="13.5" customHeight="1" x14ac:dyDescent="0.2">
      <c r="A93" s="1015" t="s">
        <v>371</v>
      </c>
      <c r="B93" s="1016"/>
      <c r="C93" s="1015" t="s">
        <v>371</v>
      </c>
      <c r="D93" s="1016"/>
      <c r="E93" s="918"/>
      <c r="F93" s="922"/>
      <c r="G93" s="923"/>
      <c r="I93" s="646"/>
      <c r="J93" s="646"/>
      <c r="K93" s="646"/>
      <c r="L93" s="646"/>
      <c r="M93" s="646"/>
      <c r="N93" s="646"/>
      <c r="O93" s="646"/>
      <c r="P93" s="920"/>
    </row>
    <row r="94" spans="1:17" s="921" customFormat="1" ht="13.5" customHeight="1" x14ac:dyDescent="0.2">
      <c r="A94" s="916" t="s">
        <v>1115</v>
      </c>
      <c r="B94" s="917"/>
      <c r="C94" s="916" t="s">
        <v>1115</v>
      </c>
      <c r="D94" s="917"/>
      <c r="E94" s="918"/>
      <c r="F94" s="919"/>
      <c r="G94" s="919"/>
      <c r="H94" s="919"/>
      <c r="I94" s="646"/>
      <c r="J94" s="646"/>
      <c r="K94" s="646"/>
      <c r="L94" s="646"/>
      <c r="M94" s="646"/>
      <c r="N94" s="646"/>
      <c r="O94" s="646"/>
      <c r="P94" s="920"/>
      <c r="Q94" s="646"/>
    </row>
    <row r="95" spans="1:17" s="921" customFormat="1" ht="13.5" customHeight="1" x14ac:dyDescent="0.2">
      <c r="A95" s="916" t="s">
        <v>1116</v>
      </c>
      <c r="B95" s="917"/>
      <c r="C95" s="916" t="s">
        <v>1116</v>
      </c>
      <c r="D95" s="917"/>
      <c r="E95" s="918"/>
      <c r="F95" s="919"/>
      <c r="G95" s="919"/>
      <c r="H95" s="919"/>
      <c r="I95" s="646"/>
      <c r="J95" s="646"/>
      <c r="K95" s="646"/>
      <c r="L95" s="646"/>
      <c r="M95" s="646"/>
      <c r="N95" s="646"/>
      <c r="O95" s="646"/>
      <c r="P95" s="920"/>
      <c r="Q95" s="646"/>
    </row>
    <row r="96" spans="1:17" s="919" customFormat="1" ht="13.5" customHeight="1" x14ac:dyDescent="0.2">
      <c r="A96" s="916" t="s">
        <v>359</v>
      </c>
      <c r="B96" s="917"/>
      <c r="C96" s="916" t="s">
        <v>359</v>
      </c>
      <c r="D96" s="917"/>
      <c r="E96" s="918"/>
      <c r="F96" s="922"/>
      <c r="G96" s="923"/>
      <c r="I96" s="646"/>
      <c r="J96" s="646"/>
      <c r="K96" s="646"/>
      <c r="L96" s="646"/>
      <c r="M96" s="646"/>
      <c r="N96" s="646"/>
      <c r="O96" s="646"/>
      <c r="P96" s="920"/>
    </row>
    <row r="97" spans="1:17" s="919" customFormat="1" ht="13.5" customHeight="1" x14ac:dyDescent="0.2">
      <c r="A97" s="916" t="s">
        <v>354</v>
      </c>
      <c r="B97" s="917"/>
      <c r="C97" s="916" t="s">
        <v>354</v>
      </c>
      <c r="D97" s="917"/>
      <c r="E97" s="918"/>
      <c r="F97" s="922"/>
      <c r="G97" s="923"/>
      <c r="I97" s="646"/>
      <c r="J97" s="646"/>
      <c r="K97" s="646"/>
      <c r="L97" s="646"/>
      <c r="M97" s="646"/>
      <c r="N97" s="646"/>
      <c r="O97" s="646"/>
      <c r="P97" s="920"/>
    </row>
    <row r="98" spans="1:17" s="919" customFormat="1" ht="13.5" customHeight="1" x14ac:dyDescent="0.2">
      <c r="A98" s="916" t="s">
        <v>360</v>
      </c>
      <c r="B98" s="917"/>
      <c r="C98" s="916" t="s">
        <v>360</v>
      </c>
      <c r="D98" s="917"/>
      <c r="E98" s="918"/>
      <c r="F98" s="922"/>
      <c r="G98" s="923"/>
      <c r="I98" s="646"/>
      <c r="J98" s="646"/>
      <c r="K98" s="646"/>
      <c r="L98" s="646"/>
      <c r="M98" s="646"/>
      <c r="N98" s="646"/>
      <c r="O98" s="646"/>
      <c r="P98" s="920"/>
    </row>
    <row r="99" spans="1:17" s="919" customFormat="1" ht="13.5" customHeight="1" x14ac:dyDescent="0.2">
      <c r="A99" s="916" t="s">
        <v>355</v>
      </c>
      <c r="B99" s="917"/>
      <c r="C99" s="916" t="s">
        <v>355</v>
      </c>
      <c r="D99" s="917"/>
      <c r="E99" s="918"/>
      <c r="F99" s="922"/>
      <c r="G99" s="923"/>
      <c r="I99" s="646"/>
      <c r="J99" s="646"/>
      <c r="K99" s="646"/>
      <c r="L99" s="646"/>
      <c r="M99" s="646"/>
      <c r="N99" s="646"/>
      <c r="O99" s="646"/>
      <c r="P99" s="920"/>
    </row>
    <row r="100" spans="1:17" s="919" customFormat="1" ht="13.5" customHeight="1" x14ac:dyDescent="0.2">
      <c r="A100" s="916" t="s">
        <v>361</v>
      </c>
      <c r="B100" s="917"/>
      <c r="C100" s="916" t="s">
        <v>361</v>
      </c>
      <c r="D100" s="917"/>
      <c r="E100" s="918"/>
      <c r="F100" s="922"/>
      <c r="G100" s="923"/>
      <c r="I100" s="646"/>
      <c r="J100" s="646"/>
      <c r="K100" s="646"/>
      <c r="L100" s="646"/>
      <c r="M100" s="646"/>
      <c r="N100" s="646"/>
      <c r="O100" s="646"/>
      <c r="P100" s="920"/>
    </row>
    <row r="101" spans="1:17" s="919" customFormat="1" ht="12.75" customHeight="1" x14ac:dyDescent="0.2">
      <c r="A101" s="1015" t="s">
        <v>371</v>
      </c>
      <c r="B101" s="1016"/>
      <c r="C101" s="1015" t="s">
        <v>371</v>
      </c>
      <c r="D101" s="1016"/>
      <c r="E101" s="918"/>
      <c r="F101" s="922"/>
      <c r="G101" s="923"/>
      <c r="I101" s="646"/>
      <c r="J101" s="646"/>
      <c r="K101" s="646"/>
      <c r="L101" s="646"/>
      <c r="M101" s="646"/>
      <c r="N101" s="646"/>
      <c r="O101" s="646"/>
      <c r="P101" s="920"/>
    </row>
    <row r="102" spans="1:17" s="921" customFormat="1" ht="13.5" customHeight="1" x14ac:dyDescent="0.2">
      <c r="A102" s="916" t="s">
        <v>1115</v>
      </c>
      <c r="B102" s="917"/>
      <c r="C102" s="916" t="s">
        <v>1115</v>
      </c>
      <c r="D102" s="917"/>
      <c r="E102" s="918"/>
      <c r="F102" s="919"/>
      <c r="G102" s="919"/>
      <c r="H102" s="919"/>
      <c r="I102" s="646"/>
      <c r="J102" s="646"/>
      <c r="K102" s="646"/>
      <c r="L102" s="646"/>
      <c r="M102" s="646"/>
      <c r="N102" s="646"/>
      <c r="O102" s="646"/>
      <c r="P102" s="920"/>
      <c r="Q102" s="646"/>
    </row>
    <row r="103" spans="1:17" s="919" customFormat="1" ht="12.75" customHeight="1" x14ac:dyDescent="0.2">
      <c r="A103" s="916" t="s">
        <v>1116</v>
      </c>
      <c r="B103" s="917"/>
      <c r="C103" s="916" t="s">
        <v>1116</v>
      </c>
      <c r="D103" s="917"/>
      <c r="E103" s="918"/>
      <c r="F103" s="922"/>
      <c r="G103" s="923"/>
      <c r="I103" s="646"/>
      <c r="J103" s="646"/>
      <c r="K103" s="646"/>
      <c r="L103" s="646"/>
      <c r="M103" s="646"/>
      <c r="N103" s="646"/>
      <c r="O103" s="646"/>
      <c r="P103" s="920"/>
    </row>
    <row r="104" spans="1:17" s="919" customFormat="1" ht="12.75" customHeight="1" x14ac:dyDescent="0.2">
      <c r="A104" s="916" t="s">
        <v>359</v>
      </c>
      <c r="B104" s="917"/>
      <c r="C104" s="916" t="s">
        <v>359</v>
      </c>
      <c r="D104" s="917"/>
      <c r="E104" s="918"/>
      <c r="F104" s="922"/>
      <c r="G104" s="923"/>
      <c r="I104" s="646"/>
      <c r="J104" s="646"/>
      <c r="K104" s="646"/>
      <c r="L104" s="646"/>
      <c r="M104" s="646"/>
      <c r="N104" s="646"/>
      <c r="O104" s="646"/>
      <c r="P104" s="920"/>
    </row>
    <row r="105" spans="1:17" s="919" customFormat="1" ht="12.75" customHeight="1" x14ac:dyDescent="0.2">
      <c r="A105" s="916" t="s">
        <v>354</v>
      </c>
      <c r="B105" s="917"/>
      <c r="C105" s="916" t="s">
        <v>354</v>
      </c>
      <c r="D105" s="917"/>
      <c r="E105" s="918"/>
      <c r="F105" s="922"/>
      <c r="G105" s="923"/>
      <c r="I105" s="646"/>
      <c r="J105" s="646"/>
      <c r="K105" s="646"/>
      <c r="L105" s="646"/>
      <c r="M105" s="646"/>
      <c r="N105" s="646"/>
      <c r="O105" s="646"/>
      <c r="P105" s="920"/>
    </row>
    <row r="106" spans="1:17" s="931" customFormat="1" ht="12.75" customHeight="1" x14ac:dyDescent="0.2">
      <c r="A106" s="916" t="s">
        <v>360</v>
      </c>
      <c r="B106" s="917"/>
      <c r="C106" s="916" t="s">
        <v>360</v>
      </c>
      <c r="D106" s="917"/>
      <c r="E106" s="930"/>
      <c r="F106" s="922"/>
      <c r="G106" s="923"/>
      <c r="I106" s="646"/>
      <c r="J106" s="646"/>
      <c r="K106" s="646"/>
      <c r="L106" s="646"/>
      <c r="M106" s="646"/>
      <c r="N106" s="646"/>
      <c r="O106" s="646"/>
      <c r="P106" s="920"/>
      <c r="Q106" s="919"/>
    </row>
    <row r="107" spans="1:17" s="646" customFormat="1" ht="12.75" customHeight="1" x14ac:dyDescent="0.2">
      <c r="A107" s="916" t="s">
        <v>355</v>
      </c>
      <c r="B107" s="917"/>
      <c r="C107" s="916" t="s">
        <v>355</v>
      </c>
      <c r="D107" s="917"/>
      <c r="E107" s="932"/>
      <c r="F107" s="922"/>
      <c r="G107" s="923"/>
      <c r="P107" s="920"/>
      <c r="Q107" s="919"/>
    </row>
    <row r="108" spans="1:17" s="646" customFormat="1" ht="12.75" customHeight="1" x14ac:dyDescent="0.2">
      <c r="A108" s="916" t="s">
        <v>361</v>
      </c>
      <c r="B108" s="917"/>
      <c r="C108" s="916" t="s">
        <v>361</v>
      </c>
      <c r="D108" s="917"/>
      <c r="E108" s="932"/>
      <c r="F108" s="922"/>
      <c r="G108" s="923"/>
      <c r="P108" s="920"/>
      <c r="Q108" s="919"/>
    </row>
    <row r="109" spans="1:17" s="919" customFormat="1" ht="12.75" customHeight="1" x14ac:dyDescent="0.2">
      <c r="A109" s="1015" t="s">
        <v>371</v>
      </c>
      <c r="B109" s="1016"/>
      <c r="C109" s="1015" t="s">
        <v>371</v>
      </c>
      <c r="D109" s="1016"/>
      <c r="E109" s="918"/>
      <c r="I109" s="646"/>
      <c r="J109" s="646"/>
      <c r="K109" s="646"/>
      <c r="L109" s="646"/>
      <c r="M109" s="646"/>
      <c r="N109" s="646"/>
      <c r="O109" s="646"/>
      <c r="P109" s="920"/>
    </row>
    <row r="110" spans="1:17" s="921" customFormat="1" ht="13.5" customHeight="1" x14ac:dyDescent="0.2">
      <c r="A110" s="916" t="s">
        <v>1115</v>
      </c>
      <c r="B110" s="917"/>
      <c r="C110" s="916" t="s">
        <v>1115</v>
      </c>
      <c r="D110" s="917"/>
      <c r="E110" s="918"/>
      <c r="F110" s="919"/>
      <c r="G110" s="919"/>
      <c r="H110" s="919"/>
      <c r="I110" s="646"/>
      <c r="J110" s="646"/>
      <c r="K110" s="646"/>
      <c r="L110" s="646"/>
      <c r="M110" s="646"/>
      <c r="N110" s="646"/>
      <c r="O110" s="646"/>
      <c r="P110" s="920"/>
      <c r="Q110" s="646"/>
    </row>
    <row r="111" spans="1:17" s="919" customFormat="1" ht="12.75" customHeight="1" x14ac:dyDescent="0.2">
      <c r="A111" s="916" t="s">
        <v>1116</v>
      </c>
      <c r="B111" s="917"/>
      <c r="C111" s="916" t="s">
        <v>1116</v>
      </c>
      <c r="D111" s="917"/>
      <c r="E111" s="918"/>
      <c r="I111" s="646"/>
      <c r="J111" s="646"/>
      <c r="K111" s="646"/>
      <c r="L111" s="646"/>
      <c r="M111" s="646"/>
      <c r="N111" s="646"/>
      <c r="O111" s="646"/>
      <c r="P111" s="920"/>
    </row>
    <row r="112" spans="1:17" s="919" customFormat="1" ht="12.75" customHeight="1" x14ac:dyDescent="0.2">
      <c r="A112" s="916" t="s">
        <v>359</v>
      </c>
      <c r="B112" s="917"/>
      <c r="C112" s="916" t="s">
        <v>359</v>
      </c>
      <c r="D112" s="917"/>
      <c r="E112" s="918"/>
      <c r="I112" s="646"/>
      <c r="J112" s="646"/>
      <c r="K112" s="646"/>
      <c r="L112" s="646"/>
      <c r="M112" s="646"/>
      <c r="N112" s="646"/>
      <c r="O112" s="646"/>
      <c r="P112" s="920"/>
    </row>
    <row r="113" spans="1:25" s="919" customFormat="1" ht="12.75" customHeight="1" x14ac:dyDescent="0.2">
      <c r="A113" s="916" t="s">
        <v>354</v>
      </c>
      <c r="B113" s="917"/>
      <c r="C113" s="916" t="s">
        <v>354</v>
      </c>
      <c r="D113" s="917"/>
      <c r="E113" s="918"/>
      <c r="I113" s="646"/>
      <c r="J113" s="646"/>
      <c r="K113" s="646"/>
      <c r="L113" s="646"/>
      <c r="M113" s="646"/>
      <c r="N113" s="646"/>
      <c r="O113" s="646"/>
      <c r="P113" s="920"/>
    </row>
    <row r="114" spans="1:25" s="921" customFormat="1" ht="12.75" customHeight="1" x14ac:dyDescent="0.2">
      <c r="A114" s="916" t="s">
        <v>360</v>
      </c>
      <c r="B114" s="917"/>
      <c r="C114" s="916" t="s">
        <v>360</v>
      </c>
      <c r="D114" s="917"/>
      <c r="E114" s="933"/>
      <c r="F114" s="919"/>
      <c r="G114" s="919"/>
      <c r="H114" s="919"/>
      <c r="I114" s="646"/>
      <c r="J114" s="646"/>
      <c r="K114" s="646"/>
      <c r="L114" s="646"/>
      <c r="M114" s="646"/>
      <c r="N114" s="646"/>
      <c r="O114" s="646"/>
      <c r="P114" s="920"/>
      <c r="Q114" s="919"/>
      <c r="R114" s="934"/>
      <c r="S114" s="934"/>
      <c r="T114" s="934"/>
      <c r="U114" s="934"/>
      <c r="V114" s="934"/>
      <c r="W114" s="934"/>
      <c r="X114" s="934"/>
      <c r="Y114" s="934"/>
    </row>
    <row r="115" spans="1:25" s="921" customFormat="1" ht="12.75" customHeight="1" x14ac:dyDescent="0.2">
      <c r="A115" s="916" t="s">
        <v>355</v>
      </c>
      <c r="B115" s="917"/>
      <c r="C115" s="916" t="s">
        <v>355</v>
      </c>
      <c r="D115" s="917"/>
      <c r="E115" s="933"/>
      <c r="F115" s="919"/>
      <c r="G115" s="919"/>
      <c r="H115" s="919"/>
      <c r="I115" s="646"/>
      <c r="J115" s="646"/>
      <c r="K115" s="646"/>
      <c r="L115" s="646"/>
      <c r="M115" s="646"/>
      <c r="N115" s="646"/>
      <c r="O115" s="646"/>
      <c r="P115" s="920"/>
      <c r="Q115" s="919"/>
      <c r="R115" s="934"/>
      <c r="S115" s="934"/>
      <c r="T115" s="934"/>
      <c r="U115" s="934"/>
      <c r="V115" s="934"/>
      <c r="W115" s="934"/>
      <c r="X115" s="934"/>
      <c r="Y115" s="934"/>
    </row>
    <row r="116" spans="1:25" s="921" customFormat="1" ht="12.75" customHeight="1" x14ac:dyDescent="0.2">
      <c r="A116" s="916" t="s">
        <v>361</v>
      </c>
      <c r="B116" s="917"/>
      <c r="C116" s="916" t="s">
        <v>361</v>
      </c>
      <c r="D116" s="917"/>
      <c r="E116" s="933"/>
      <c r="F116" s="919"/>
      <c r="G116" s="919"/>
      <c r="H116" s="919"/>
      <c r="I116" s="646"/>
      <c r="J116" s="646"/>
      <c r="K116" s="646"/>
      <c r="L116" s="646"/>
      <c r="M116" s="646"/>
      <c r="N116" s="646"/>
      <c r="O116" s="646"/>
      <c r="P116" s="920"/>
      <c r="Q116" s="919"/>
      <c r="R116" s="934"/>
      <c r="S116" s="934"/>
      <c r="T116" s="934"/>
      <c r="U116" s="934"/>
      <c r="V116" s="934"/>
      <c r="W116" s="934"/>
      <c r="X116" s="934"/>
      <c r="Y116" s="934"/>
    </row>
    <row r="117" spans="1:25" s="921" customFormat="1" ht="12.75" customHeight="1" x14ac:dyDescent="0.2">
      <c r="A117" s="1015" t="s">
        <v>371</v>
      </c>
      <c r="B117" s="1016"/>
      <c r="C117" s="1015" t="s">
        <v>371</v>
      </c>
      <c r="D117" s="1016"/>
      <c r="E117" s="933"/>
      <c r="F117" s="919"/>
      <c r="G117" s="919"/>
      <c r="H117" s="919"/>
      <c r="I117" s="646"/>
      <c r="J117" s="646"/>
      <c r="K117" s="646"/>
      <c r="L117" s="646"/>
      <c r="M117" s="646"/>
      <c r="N117" s="646"/>
      <c r="O117" s="646"/>
      <c r="P117" s="920"/>
      <c r="Q117" s="919"/>
      <c r="R117" s="934"/>
      <c r="S117" s="934"/>
      <c r="T117" s="934"/>
      <c r="U117" s="934"/>
      <c r="V117" s="934"/>
      <c r="W117" s="934"/>
      <c r="X117" s="934"/>
      <c r="Y117" s="934"/>
    </row>
    <row r="118" spans="1:25" s="921" customFormat="1" ht="13.5" customHeight="1" x14ac:dyDescent="0.2">
      <c r="A118" s="916" t="s">
        <v>1115</v>
      </c>
      <c r="B118" s="917"/>
      <c r="C118" s="916" t="s">
        <v>1115</v>
      </c>
      <c r="D118" s="917"/>
      <c r="E118" s="918"/>
      <c r="F118" s="919"/>
      <c r="G118" s="919"/>
      <c r="H118" s="919"/>
      <c r="I118" s="646"/>
      <c r="J118" s="646"/>
      <c r="K118" s="646"/>
      <c r="L118" s="646"/>
      <c r="M118" s="646"/>
      <c r="N118" s="646"/>
      <c r="O118" s="646"/>
      <c r="P118" s="920"/>
      <c r="Q118" s="646"/>
    </row>
    <row r="119" spans="1:25" s="921" customFormat="1" ht="12.75" customHeight="1" x14ac:dyDescent="0.2">
      <c r="A119" s="916" t="s">
        <v>1116</v>
      </c>
      <c r="B119" s="917"/>
      <c r="C119" s="916" t="s">
        <v>1116</v>
      </c>
      <c r="D119" s="917"/>
      <c r="E119" s="933"/>
      <c r="F119" s="919"/>
      <c r="G119" s="919"/>
      <c r="H119" s="919"/>
      <c r="I119" s="646"/>
      <c r="J119" s="646"/>
      <c r="K119" s="646"/>
      <c r="L119" s="646"/>
      <c r="M119" s="646"/>
      <c r="N119" s="646"/>
      <c r="O119" s="646"/>
      <c r="P119" s="920"/>
      <c r="Q119" s="919"/>
      <c r="R119" s="934"/>
      <c r="S119" s="934"/>
      <c r="T119" s="934"/>
      <c r="U119" s="934"/>
      <c r="V119" s="934"/>
      <c r="W119" s="934"/>
      <c r="X119" s="934"/>
      <c r="Y119" s="934"/>
    </row>
    <row r="120" spans="1:25" s="921" customFormat="1" ht="12.75" customHeight="1" x14ac:dyDescent="0.2">
      <c r="A120" s="916" t="s">
        <v>359</v>
      </c>
      <c r="B120" s="917"/>
      <c r="C120" s="916" t="s">
        <v>359</v>
      </c>
      <c r="D120" s="917"/>
      <c r="E120" s="933"/>
      <c r="F120" s="919"/>
      <c r="G120" s="919"/>
      <c r="H120" s="919"/>
      <c r="I120" s="646"/>
      <c r="J120" s="646"/>
      <c r="K120" s="646"/>
      <c r="L120" s="646"/>
      <c r="M120" s="646"/>
      <c r="N120" s="646"/>
      <c r="O120" s="646"/>
      <c r="P120" s="920"/>
      <c r="Q120" s="919"/>
      <c r="R120" s="934"/>
      <c r="S120" s="934"/>
      <c r="T120" s="934"/>
      <c r="U120" s="934"/>
      <c r="V120" s="934"/>
      <c r="W120" s="934"/>
      <c r="X120" s="934"/>
      <c r="Y120" s="934"/>
    </row>
    <row r="121" spans="1:25" s="921" customFormat="1" ht="12.75" customHeight="1" x14ac:dyDescent="0.2">
      <c r="A121" s="916" t="s">
        <v>354</v>
      </c>
      <c r="B121" s="917"/>
      <c r="C121" s="916" t="s">
        <v>354</v>
      </c>
      <c r="D121" s="917"/>
      <c r="E121" s="933"/>
      <c r="F121" s="919"/>
      <c r="G121" s="919"/>
      <c r="H121" s="919"/>
      <c r="I121" s="646"/>
      <c r="J121" s="646"/>
      <c r="K121" s="646"/>
      <c r="L121" s="646"/>
      <c r="M121" s="646"/>
      <c r="N121" s="646"/>
      <c r="O121" s="646"/>
      <c r="P121" s="920"/>
      <c r="Q121" s="919"/>
      <c r="R121" s="934"/>
      <c r="S121" s="934"/>
      <c r="T121" s="934"/>
      <c r="U121" s="934"/>
      <c r="V121" s="934"/>
      <c r="W121" s="934"/>
      <c r="X121" s="934"/>
      <c r="Y121" s="934"/>
    </row>
    <row r="122" spans="1:25" s="921" customFormat="1" ht="12.75" customHeight="1" x14ac:dyDescent="0.2">
      <c r="A122" s="916" t="s">
        <v>360</v>
      </c>
      <c r="B122" s="917"/>
      <c r="C122" s="916" t="s">
        <v>360</v>
      </c>
      <c r="D122" s="917"/>
      <c r="E122" s="933"/>
      <c r="F122" s="919"/>
      <c r="G122" s="919"/>
      <c r="H122" s="919"/>
      <c r="I122" s="646"/>
      <c r="J122" s="646"/>
      <c r="K122" s="646"/>
      <c r="L122" s="646"/>
      <c r="M122" s="646"/>
      <c r="N122" s="646"/>
      <c r="O122" s="646"/>
      <c r="P122" s="920"/>
      <c r="Q122" s="919"/>
      <c r="R122" s="934"/>
      <c r="S122" s="934"/>
      <c r="T122" s="934"/>
      <c r="U122" s="934"/>
      <c r="V122" s="934"/>
      <c r="W122" s="934"/>
      <c r="X122" s="934"/>
      <c r="Y122" s="934"/>
    </row>
    <row r="123" spans="1:25" s="921" customFormat="1" ht="12.75" customHeight="1" x14ac:dyDescent="0.2">
      <c r="A123" s="916" t="s">
        <v>355</v>
      </c>
      <c r="B123" s="917"/>
      <c r="C123" s="916" t="s">
        <v>355</v>
      </c>
      <c r="D123" s="917"/>
      <c r="E123" s="933"/>
      <c r="F123" s="919"/>
      <c r="G123" s="919"/>
      <c r="H123" s="919"/>
      <c r="I123" s="646"/>
      <c r="J123" s="646"/>
      <c r="K123" s="646"/>
      <c r="L123" s="646"/>
      <c r="M123" s="646"/>
      <c r="N123" s="646"/>
      <c r="O123" s="646"/>
      <c r="P123" s="920"/>
      <c r="Q123" s="919"/>
      <c r="R123" s="934"/>
      <c r="S123" s="934"/>
      <c r="T123" s="934"/>
      <c r="U123" s="934"/>
      <c r="V123" s="934"/>
      <c r="W123" s="934"/>
      <c r="X123" s="934"/>
      <c r="Y123" s="934"/>
    </row>
    <row r="124" spans="1:25" s="921" customFormat="1" ht="12.75" customHeight="1" x14ac:dyDescent="0.2">
      <c r="A124" s="916" t="s">
        <v>361</v>
      </c>
      <c r="B124" s="917"/>
      <c r="C124" s="916" t="s">
        <v>361</v>
      </c>
      <c r="D124" s="917"/>
      <c r="E124" s="933"/>
      <c r="F124" s="919"/>
      <c r="G124" s="919"/>
      <c r="H124" s="919"/>
      <c r="I124" s="646"/>
      <c r="J124" s="646"/>
      <c r="K124" s="646"/>
      <c r="L124" s="646"/>
      <c r="M124" s="646"/>
      <c r="N124" s="646"/>
      <c r="O124" s="646"/>
      <c r="P124" s="920"/>
      <c r="Q124" s="919"/>
      <c r="R124" s="934"/>
      <c r="S124" s="934"/>
      <c r="T124" s="934"/>
      <c r="U124" s="934"/>
      <c r="V124" s="934"/>
      <c r="W124" s="934"/>
      <c r="X124" s="934"/>
      <c r="Y124" s="934"/>
    </row>
    <row r="125" spans="1:25" s="921" customFormat="1" ht="12.75" customHeight="1" x14ac:dyDescent="0.2">
      <c r="A125" s="1015" t="s">
        <v>371</v>
      </c>
      <c r="B125" s="1016"/>
      <c r="C125" s="1015" t="s">
        <v>371</v>
      </c>
      <c r="D125" s="1016"/>
      <c r="E125" s="933"/>
      <c r="F125" s="919"/>
      <c r="G125" s="919"/>
      <c r="H125" s="919"/>
      <c r="I125" s="646"/>
      <c r="J125" s="646"/>
      <c r="K125" s="646"/>
      <c r="L125" s="646"/>
      <c r="M125" s="646"/>
      <c r="N125" s="646"/>
      <c r="O125" s="646"/>
      <c r="P125" s="920"/>
      <c r="Q125" s="919"/>
      <c r="R125" s="934"/>
      <c r="S125" s="934"/>
      <c r="T125" s="934"/>
      <c r="U125" s="934"/>
      <c r="V125" s="934"/>
      <c r="W125" s="934"/>
      <c r="X125" s="934"/>
      <c r="Y125" s="934"/>
    </row>
    <row r="126" spans="1:25" s="921" customFormat="1" ht="13.5" customHeight="1" x14ac:dyDescent="0.2">
      <c r="A126" s="916" t="s">
        <v>1115</v>
      </c>
      <c r="B126" s="917"/>
      <c r="C126" s="916" t="s">
        <v>1115</v>
      </c>
      <c r="D126" s="917"/>
      <c r="E126" s="918"/>
      <c r="F126" s="919"/>
      <c r="G126" s="919"/>
      <c r="H126" s="919"/>
      <c r="I126" s="646"/>
      <c r="J126" s="646"/>
      <c r="K126" s="646"/>
      <c r="L126" s="646"/>
      <c r="M126" s="646"/>
      <c r="N126" s="646"/>
      <c r="O126" s="646"/>
      <c r="P126" s="920"/>
      <c r="Q126" s="646"/>
    </row>
    <row r="127" spans="1:25" s="921" customFormat="1" ht="12.75" customHeight="1" x14ac:dyDescent="0.2">
      <c r="A127" s="916" t="s">
        <v>1116</v>
      </c>
      <c r="B127" s="917"/>
      <c r="C127" s="916" t="s">
        <v>1116</v>
      </c>
      <c r="D127" s="917"/>
      <c r="E127" s="933"/>
      <c r="F127" s="919"/>
      <c r="G127" s="919"/>
      <c r="H127" s="919"/>
      <c r="I127" s="646"/>
      <c r="J127" s="646"/>
      <c r="K127" s="646"/>
      <c r="L127" s="646"/>
      <c r="M127" s="646"/>
      <c r="N127" s="646"/>
      <c r="O127" s="646"/>
      <c r="P127" s="920"/>
      <c r="Q127" s="919"/>
      <c r="R127" s="934"/>
      <c r="S127" s="934"/>
      <c r="T127" s="934"/>
      <c r="U127" s="934"/>
      <c r="V127" s="934"/>
      <c r="W127" s="934"/>
      <c r="X127" s="934"/>
      <c r="Y127" s="934"/>
    </row>
    <row r="128" spans="1:25" s="921" customFormat="1" ht="12.75" customHeight="1" x14ac:dyDescent="0.2">
      <c r="A128" s="916" t="s">
        <v>359</v>
      </c>
      <c r="B128" s="917"/>
      <c r="C128" s="916" t="s">
        <v>359</v>
      </c>
      <c r="D128" s="917"/>
      <c r="E128" s="933"/>
      <c r="F128" s="919"/>
      <c r="G128" s="919"/>
      <c r="H128" s="919"/>
      <c r="I128" s="646"/>
      <c r="J128" s="646"/>
      <c r="K128" s="646"/>
      <c r="L128" s="646"/>
      <c r="M128" s="646"/>
      <c r="N128" s="646"/>
      <c r="O128" s="646"/>
      <c r="P128" s="920"/>
      <c r="Q128" s="919"/>
      <c r="R128" s="934"/>
      <c r="S128" s="934"/>
      <c r="T128" s="934"/>
      <c r="U128" s="934"/>
      <c r="V128" s="934"/>
      <c r="W128" s="934"/>
      <c r="X128" s="934"/>
      <c r="Y128" s="934"/>
    </row>
    <row r="129" spans="1:25" s="921" customFormat="1" ht="12.75" customHeight="1" x14ac:dyDescent="0.2">
      <c r="A129" s="916" t="s">
        <v>354</v>
      </c>
      <c r="B129" s="917"/>
      <c r="C129" s="916" t="s">
        <v>354</v>
      </c>
      <c r="D129" s="917"/>
      <c r="E129" s="933"/>
      <c r="F129" s="919"/>
      <c r="G129" s="919"/>
      <c r="H129" s="919"/>
      <c r="I129" s="646"/>
      <c r="J129" s="646"/>
      <c r="K129" s="646"/>
      <c r="L129" s="646"/>
      <c r="M129" s="646"/>
      <c r="N129" s="646"/>
      <c r="O129" s="646"/>
      <c r="P129" s="920"/>
      <c r="Q129" s="919"/>
      <c r="R129" s="934"/>
      <c r="S129" s="934"/>
      <c r="T129" s="934"/>
      <c r="U129" s="934"/>
      <c r="V129" s="934"/>
      <c r="W129" s="934"/>
      <c r="X129" s="934"/>
      <c r="Y129" s="934"/>
    </row>
    <row r="130" spans="1:25" s="921" customFormat="1" ht="12.75" customHeight="1" x14ac:dyDescent="0.2">
      <c r="A130" s="916" t="s">
        <v>360</v>
      </c>
      <c r="B130" s="917"/>
      <c r="C130" s="916" t="s">
        <v>360</v>
      </c>
      <c r="D130" s="917"/>
      <c r="E130" s="933"/>
      <c r="F130" s="919"/>
      <c r="G130" s="919"/>
      <c r="H130" s="919"/>
      <c r="I130" s="646"/>
      <c r="J130" s="646"/>
      <c r="K130" s="646"/>
      <c r="L130" s="646"/>
      <c r="M130" s="646"/>
      <c r="N130" s="646"/>
      <c r="O130" s="646"/>
      <c r="P130" s="920"/>
      <c r="Q130" s="919"/>
      <c r="R130" s="934"/>
      <c r="S130" s="934"/>
      <c r="T130" s="934"/>
      <c r="U130" s="934"/>
      <c r="V130" s="934"/>
      <c r="W130" s="934"/>
      <c r="X130" s="934"/>
      <c r="Y130" s="934"/>
    </row>
    <row r="131" spans="1:25" s="921" customFormat="1" ht="12.75" customHeight="1" x14ac:dyDescent="0.2">
      <c r="A131" s="916" t="s">
        <v>355</v>
      </c>
      <c r="B131" s="917"/>
      <c r="C131" s="916" t="s">
        <v>355</v>
      </c>
      <c r="D131" s="917"/>
      <c r="E131" s="933"/>
      <c r="F131" s="919"/>
      <c r="G131" s="919"/>
      <c r="H131" s="919"/>
      <c r="I131" s="646"/>
      <c r="J131" s="646"/>
      <c r="K131" s="646"/>
      <c r="L131" s="646"/>
      <c r="M131" s="646"/>
      <c r="N131" s="646"/>
      <c r="O131" s="646"/>
      <c r="P131" s="920"/>
      <c r="Q131" s="919"/>
      <c r="R131" s="934"/>
      <c r="S131" s="934"/>
      <c r="T131" s="934"/>
      <c r="U131" s="934"/>
      <c r="V131" s="934"/>
      <c r="W131" s="934"/>
      <c r="X131" s="934"/>
      <c r="Y131" s="934"/>
    </row>
    <row r="132" spans="1:25" s="921" customFormat="1" ht="12.75" customHeight="1" x14ac:dyDescent="0.2">
      <c r="A132" s="916" t="s">
        <v>361</v>
      </c>
      <c r="B132" s="917"/>
      <c r="C132" s="916" t="s">
        <v>361</v>
      </c>
      <c r="D132" s="917"/>
      <c r="E132" s="933"/>
      <c r="F132" s="919"/>
      <c r="G132" s="919"/>
      <c r="H132" s="919"/>
      <c r="I132" s="646"/>
      <c r="J132" s="646"/>
      <c r="K132" s="646"/>
      <c r="L132" s="646"/>
      <c r="M132" s="646"/>
      <c r="N132" s="646"/>
      <c r="O132" s="646"/>
      <c r="P132" s="920"/>
      <c r="Q132" s="919"/>
      <c r="R132" s="934"/>
      <c r="S132" s="934"/>
      <c r="T132" s="934"/>
      <c r="U132" s="934"/>
      <c r="V132" s="934"/>
      <c r="W132" s="934"/>
      <c r="X132" s="934"/>
      <c r="Y132" s="934"/>
    </row>
    <row r="133" spans="1:25" s="921" customFormat="1" ht="12.75" customHeight="1" x14ac:dyDescent="0.2">
      <c r="A133" s="1015" t="s">
        <v>371</v>
      </c>
      <c r="B133" s="1016"/>
      <c r="C133" s="1032"/>
      <c r="D133" s="1033"/>
      <c r="E133" s="933"/>
      <c r="F133" s="919"/>
      <c r="G133" s="919"/>
      <c r="H133" s="919"/>
      <c r="I133" s="646"/>
      <c r="J133" s="646"/>
      <c r="K133" s="646"/>
      <c r="L133" s="646"/>
      <c r="M133" s="646"/>
      <c r="N133" s="646"/>
      <c r="O133" s="646"/>
      <c r="P133" s="920"/>
      <c r="Q133" s="919"/>
      <c r="R133" s="934"/>
      <c r="S133" s="934"/>
      <c r="T133" s="934"/>
      <c r="U133" s="934"/>
      <c r="V133" s="934"/>
      <c r="W133" s="934"/>
      <c r="X133" s="934"/>
      <c r="Y133" s="934"/>
    </row>
    <row r="134" spans="1:25" s="921" customFormat="1" ht="12.75" customHeight="1" x14ac:dyDescent="0.2">
      <c r="A134" s="916" t="s">
        <v>1115</v>
      </c>
      <c r="B134" s="917"/>
      <c r="C134" s="935"/>
      <c r="D134" s="936"/>
      <c r="E134" s="933"/>
      <c r="F134" s="919"/>
      <c r="G134" s="919"/>
      <c r="H134" s="919"/>
      <c r="I134" s="646"/>
      <c r="J134" s="646"/>
      <c r="K134" s="646"/>
      <c r="L134" s="646"/>
      <c r="M134" s="646"/>
      <c r="N134" s="646"/>
      <c r="O134" s="646"/>
      <c r="P134" s="920"/>
      <c r="Q134" s="919"/>
      <c r="R134" s="934"/>
      <c r="S134" s="934"/>
      <c r="T134" s="934"/>
      <c r="U134" s="934"/>
      <c r="V134" s="934"/>
      <c r="W134" s="934"/>
      <c r="X134" s="934"/>
      <c r="Y134" s="934"/>
    </row>
    <row r="135" spans="1:25" s="921" customFormat="1" ht="12.75" customHeight="1" x14ac:dyDescent="0.2">
      <c r="A135" s="916" t="s">
        <v>1116</v>
      </c>
      <c r="B135" s="917"/>
      <c r="C135" s="935"/>
      <c r="D135" s="936"/>
      <c r="E135" s="933"/>
      <c r="F135" s="919"/>
      <c r="G135" s="919"/>
      <c r="H135" s="919"/>
      <c r="I135" s="646"/>
      <c r="J135" s="646"/>
      <c r="K135" s="646"/>
      <c r="L135" s="646"/>
      <c r="M135" s="646"/>
      <c r="N135" s="646"/>
      <c r="O135" s="646"/>
      <c r="P135" s="920"/>
      <c r="Q135" s="919"/>
      <c r="R135" s="934"/>
      <c r="S135" s="934"/>
      <c r="T135" s="934"/>
      <c r="U135" s="934"/>
      <c r="V135" s="934"/>
      <c r="W135" s="934"/>
      <c r="X135" s="934"/>
      <c r="Y135" s="934"/>
    </row>
    <row r="136" spans="1:25" s="921" customFormat="1" ht="12.75" customHeight="1" x14ac:dyDescent="0.2">
      <c r="A136" s="916" t="s">
        <v>359</v>
      </c>
      <c r="B136" s="917"/>
      <c r="C136" s="935"/>
      <c r="D136" s="936"/>
      <c r="E136" s="933"/>
      <c r="F136" s="919"/>
      <c r="G136" s="919"/>
      <c r="H136" s="919"/>
      <c r="I136" s="646"/>
      <c r="J136" s="646"/>
      <c r="K136" s="646"/>
      <c r="L136" s="646"/>
      <c r="M136" s="646"/>
      <c r="N136" s="646"/>
      <c r="O136" s="646"/>
      <c r="P136" s="920"/>
      <c r="Q136" s="919"/>
      <c r="R136" s="934"/>
      <c r="S136" s="934"/>
      <c r="T136" s="934"/>
      <c r="U136" s="934"/>
      <c r="V136" s="934"/>
      <c r="W136" s="934"/>
      <c r="X136" s="934"/>
      <c r="Y136" s="934"/>
    </row>
    <row r="137" spans="1:25" s="921" customFormat="1" ht="12.75" customHeight="1" x14ac:dyDescent="0.2">
      <c r="A137" s="916" t="s">
        <v>354</v>
      </c>
      <c r="B137" s="917"/>
      <c r="C137" s="935"/>
      <c r="D137" s="936"/>
      <c r="E137" s="933"/>
      <c r="F137" s="919"/>
      <c r="G137" s="919"/>
      <c r="H137" s="919"/>
      <c r="I137" s="646"/>
      <c r="J137" s="646"/>
      <c r="K137" s="646"/>
      <c r="L137" s="646"/>
      <c r="M137" s="646"/>
      <c r="N137" s="646"/>
      <c r="O137" s="646"/>
      <c r="P137" s="920"/>
      <c r="Q137" s="919"/>
      <c r="R137" s="934"/>
      <c r="S137" s="934"/>
      <c r="T137" s="934"/>
      <c r="U137" s="934"/>
      <c r="V137" s="934"/>
      <c r="W137" s="934"/>
      <c r="X137" s="934"/>
      <c r="Y137" s="934"/>
    </row>
    <row r="138" spans="1:25" s="921" customFormat="1" ht="12.75" customHeight="1" x14ac:dyDescent="0.2">
      <c r="A138" s="916" t="s">
        <v>360</v>
      </c>
      <c r="B138" s="917"/>
      <c r="C138" s="935"/>
      <c r="D138" s="936"/>
      <c r="E138" s="933"/>
      <c r="F138" s="919"/>
      <c r="G138" s="919"/>
      <c r="H138" s="919"/>
      <c r="I138" s="646"/>
      <c r="J138" s="646"/>
      <c r="K138" s="646"/>
      <c r="L138" s="646"/>
      <c r="M138" s="646"/>
      <c r="N138" s="646"/>
      <c r="O138" s="646"/>
      <c r="P138" s="920"/>
      <c r="Q138" s="919"/>
      <c r="R138" s="934"/>
      <c r="S138" s="934"/>
      <c r="T138" s="934"/>
      <c r="U138" s="934"/>
      <c r="V138" s="934"/>
      <c r="W138" s="934"/>
      <c r="X138" s="934"/>
      <c r="Y138" s="934"/>
    </row>
    <row r="139" spans="1:25" s="921" customFormat="1" ht="12.75" customHeight="1" x14ac:dyDescent="0.2">
      <c r="A139" s="916" t="s">
        <v>355</v>
      </c>
      <c r="B139" s="917"/>
      <c r="C139" s="935"/>
      <c r="D139" s="936"/>
      <c r="E139" s="933"/>
      <c r="F139" s="919"/>
      <c r="G139" s="919"/>
      <c r="H139" s="919"/>
      <c r="I139" s="646"/>
      <c r="J139" s="646"/>
      <c r="K139" s="646"/>
      <c r="L139" s="646"/>
      <c r="M139" s="646"/>
      <c r="N139" s="646"/>
      <c r="O139" s="646"/>
      <c r="P139" s="920"/>
      <c r="Q139" s="919"/>
      <c r="R139" s="934"/>
      <c r="S139" s="934"/>
      <c r="T139" s="934"/>
      <c r="U139" s="934"/>
      <c r="V139" s="934"/>
      <c r="W139" s="934"/>
      <c r="X139" s="934"/>
      <c r="Y139" s="934"/>
    </row>
    <row r="140" spans="1:25" s="921" customFormat="1" ht="12.75" customHeight="1" x14ac:dyDescent="0.2">
      <c r="A140" s="916" t="s">
        <v>361</v>
      </c>
      <c r="B140" s="917"/>
      <c r="C140" s="935"/>
      <c r="D140" s="936"/>
      <c r="E140" s="933"/>
      <c r="F140" s="919"/>
      <c r="G140" s="919"/>
      <c r="H140" s="919"/>
      <c r="I140" s="646"/>
      <c r="J140" s="646"/>
      <c r="K140" s="646"/>
      <c r="L140" s="646"/>
      <c r="M140" s="646"/>
      <c r="N140" s="646"/>
      <c r="O140" s="646"/>
      <c r="P140" s="920"/>
      <c r="Q140" s="919"/>
      <c r="R140" s="934"/>
      <c r="S140" s="934"/>
      <c r="T140" s="934"/>
      <c r="U140" s="934"/>
      <c r="V140" s="934"/>
      <c r="W140" s="934"/>
      <c r="X140" s="934"/>
      <c r="Y140" s="934"/>
    </row>
    <row r="141" spans="1:25" s="813" customFormat="1" ht="12.75" customHeight="1" x14ac:dyDescent="0.2">
      <c r="C141" s="812"/>
      <c r="D141" s="812"/>
      <c r="E141" s="812"/>
      <c r="F141" s="854"/>
      <c r="G141" s="824"/>
      <c r="P141" s="825"/>
    </row>
    <row r="142" spans="1:25" s="813" customFormat="1" ht="12.75" customHeight="1" x14ac:dyDescent="0.2">
      <c r="E142" s="812"/>
      <c r="F142" s="854"/>
      <c r="G142" s="824"/>
      <c r="P142" s="825"/>
    </row>
    <row r="143" spans="1:25" s="813" customFormat="1" ht="12.75" customHeight="1" x14ac:dyDescent="0.25">
      <c r="A143" s="832"/>
      <c r="B143" s="877"/>
      <c r="C143" s="877"/>
      <c r="D143" s="877"/>
      <c r="E143" s="812"/>
      <c r="F143" s="854"/>
      <c r="G143" s="824"/>
      <c r="P143" s="825"/>
    </row>
    <row r="144" spans="1:25" s="813" customFormat="1" ht="12.75" customHeight="1" x14ac:dyDescent="0.2">
      <c r="E144" s="812"/>
      <c r="F144" s="854"/>
      <c r="G144" s="824"/>
      <c r="P144" s="825"/>
    </row>
    <row r="145" spans="1:25" s="877" customFormat="1" ht="12.75" customHeight="1" x14ac:dyDescent="0.25">
      <c r="A145" s="812"/>
      <c r="B145" s="812"/>
      <c r="C145" s="812"/>
      <c r="D145" s="812"/>
      <c r="E145" s="878"/>
      <c r="F145" s="854"/>
      <c r="G145" s="824"/>
      <c r="I145" s="813"/>
      <c r="J145" s="813"/>
      <c r="K145" s="813"/>
      <c r="L145" s="813"/>
      <c r="M145" s="813"/>
      <c r="N145" s="813"/>
      <c r="O145" s="813"/>
      <c r="P145" s="825"/>
      <c r="Q145" s="813"/>
    </row>
    <row r="146" spans="1:25" s="813" customFormat="1" ht="12.75" customHeight="1" x14ac:dyDescent="0.2">
      <c r="A146" s="812"/>
      <c r="B146" s="812"/>
      <c r="C146" s="812"/>
      <c r="D146" s="812"/>
      <c r="E146" s="812"/>
      <c r="F146" s="854"/>
      <c r="G146" s="824"/>
      <c r="P146" s="825"/>
    </row>
    <row r="147" spans="1:25" s="813" customFormat="1" ht="12.75" customHeight="1" x14ac:dyDescent="0.2">
      <c r="A147" s="812"/>
      <c r="B147" s="812"/>
      <c r="C147" s="812"/>
      <c r="D147" s="812"/>
      <c r="E147" s="812"/>
      <c r="F147" s="854"/>
      <c r="G147" s="824"/>
      <c r="P147" s="825"/>
    </row>
    <row r="148" spans="1:25" s="813" customFormat="1" ht="12.75" customHeight="1" x14ac:dyDescent="0.2">
      <c r="A148" s="879"/>
      <c r="B148" s="812"/>
      <c r="C148" s="812"/>
      <c r="D148" s="812"/>
      <c r="E148" s="812"/>
      <c r="P148" s="825"/>
    </row>
    <row r="149" spans="1:25" s="813" customFormat="1" ht="12.75" customHeight="1" x14ac:dyDescent="0.2">
      <c r="A149" s="880"/>
      <c r="B149" s="812"/>
      <c r="C149" s="812"/>
      <c r="D149" s="812"/>
      <c r="E149" s="812"/>
      <c r="P149" s="825"/>
    </row>
    <row r="150" spans="1:25" s="813" customFormat="1" ht="12.75" customHeight="1" x14ac:dyDescent="0.2">
      <c r="A150" s="880"/>
      <c r="B150" s="812"/>
      <c r="C150" s="812"/>
      <c r="D150" s="812"/>
      <c r="E150" s="812"/>
      <c r="P150" s="825"/>
    </row>
    <row r="151" spans="1:25" s="813" customFormat="1" ht="12.75" customHeight="1" x14ac:dyDescent="0.2">
      <c r="A151" s="880"/>
      <c r="B151" s="812"/>
      <c r="C151" s="812"/>
      <c r="D151" s="812"/>
      <c r="E151" s="812"/>
      <c r="P151" s="825"/>
    </row>
    <row r="152" spans="1:25" ht="12.75" customHeight="1" x14ac:dyDescent="0.2">
      <c r="A152" s="880"/>
      <c r="E152" s="881"/>
      <c r="P152" s="825"/>
      <c r="R152" s="882"/>
      <c r="S152" s="882"/>
      <c r="T152" s="882"/>
      <c r="U152" s="882"/>
      <c r="V152" s="882"/>
      <c r="W152" s="882"/>
      <c r="X152" s="882"/>
      <c r="Y152" s="882"/>
    </row>
    <row r="153" spans="1:25" ht="12.75" customHeight="1" x14ac:dyDescent="0.2">
      <c r="A153" s="883"/>
      <c r="B153" s="881"/>
      <c r="C153" s="881"/>
      <c r="D153" s="881"/>
      <c r="E153" s="881"/>
      <c r="P153" s="825"/>
      <c r="R153" s="882"/>
      <c r="S153" s="882"/>
      <c r="T153" s="882"/>
      <c r="U153" s="882"/>
      <c r="V153" s="882"/>
      <c r="W153" s="882"/>
      <c r="X153" s="882"/>
      <c r="Y153" s="882"/>
    </row>
    <row r="154" spans="1:25" ht="12.75" customHeight="1" x14ac:dyDescent="0.2">
      <c r="A154" s="883"/>
      <c r="B154" s="881"/>
      <c r="C154" s="881"/>
      <c r="D154" s="881"/>
      <c r="E154" s="881"/>
      <c r="P154" s="825"/>
      <c r="R154" s="882"/>
      <c r="S154" s="882"/>
      <c r="T154" s="882"/>
      <c r="U154" s="882"/>
      <c r="V154" s="882"/>
      <c r="W154" s="882"/>
      <c r="X154" s="882"/>
      <c r="Y154" s="882"/>
    </row>
    <row r="155" spans="1:25" ht="12.75" customHeight="1" x14ac:dyDescent="0.2">
      <c r="A155" s="883"/>
      <c r="B155" s="881"/>
      <c r="C155" s="881"/>
      <c r="D155" s="881"/>
      <c r="E155" s="881"/>
      <c r="P155" s="825"/>
      <c r="R155" s="882"/>
      <c r="S155" s="882"/>
      <c r="T155" s="882"/>
      <c r="U155" s="882"/>
      <c r="V155" s="882"/>
      <c r="W155" s="882"/>
      <c r="X155" s="882"/>
      <c r="Y155" s="882"/>
    </row>
    <row r="156" spans="1:25" ht="12.75" customHeight="1" x14ac:dyDescent="0.2">
      <c r="A156" s="883"/>
      <c r="B156" s="881"/>
      <c r="C156" s="881"/>
      <c r="D156" s="881"/>
      <c r="E156" s="881"/>
      <c r="P156" s="825"/>
      <c r="R156" s="882"/>
      <c r="S156" s="882"/>
      <c r="T156" s="882"/>
      <c r="U156" s="882"/>
      <c r="V156" s="882"/>
      <c r="W156" s="882"/>
      <c r="X156" s="882"/>
      <c r="Y156" s="882"/>
    </row>
    <row r="157" spans="1:25" ht="12.75" customHeight="1" x14ac:dyDescent="0.2">
      <c r="A157" s="883"/>
      <c r="B157" s="881"/>
      <c r="C157" s="881"/>
      <c r="D157" s="881"/>
      <c r="E157" s="881"/>
      <c r="P157" s="825"/>
      <c r="R157" s="882"/>
      <c r="S157" s="882"/>
      <c r="T157" s="882"/>
      <c r="U157" s="882"/>
      <c r="V157" s="882"/>
      <c r="W157" s="882"/>
      <c r="X157" s="882"/>
      <c r="Y157" s="882"/>
    </row>
    <row r="158" spans="1:25" ht="12.75" customHeight="1" x14ac:dyDescent="0.2">
      <c r="A158" s="883"/>
      <c r="B158" s="881"/>
      <c r="C158" s="881"/>
      <c r="D158" s="881"/>
      <c r="E158" s="881"/>
      <c r="P158" s="825"/>
      <c r="R158" s="882"/>
      <c r="S158" s="882"/>
      <c r="T158" s="882"/>
      <c r="U158" s="882"/>
      <c r="V158" s="882"/>
      <c r="W158" s="882"/>
      <c r="X158" s="882"/>
      <c r="Y158" s="882"/>
    </row>
    <row r="159" spans="1:25" ht="12.75" customHeight="1" x14ac:dyDescent="0.2">
      <c r="A159" s="883"/>
      <c r="B159" s="881"/>
      <c r="C159" s="881"/>
      <c r="D159" s="881"/>
      <c r="E159" s="881"/>
      <c r="P159" s="825"/>
      <c r="R159" s="882"/>
      <c r="S159" s="882"/>
      <c r="T159" s="882"/>
      <c r="U159" s="882"/>
      <c r="V159" s="882"/>
      <c r="W159" s="882"/>
      <c r="X159" s="882"/>
      <c r="Y159" s="882"/>
    </row>
    <row r="160" spans="1:25" ht="12.75" customHeight="1" x14ac:dyDescent="0.2">
      <c r="A160" s="883"/>
      <c r="B160" s="881"/>
      <c r="C160" s="881"/>
      <c r="D160" s="881"/>
      <c r="E160" s="881"/>
      <c r="P160" s="825"/>
      <c r="R160" s="882"/>
      <c r="S160" s="882"/>
      <c r="T160" s="882"/>
      <c r="U160" s="882"/>
      <c r="V160" s="882"/>
      <c r="W160" s="882"/>
      <c r="X160" s="882"/>
      <c r="Y160" s="882"/>
    </row>
    <row r="161" spans="1:25" ht="12.75" customHeight="1" x14ac:dyDescent="0.2">
      <c r="A161" s="883"/>
      <c r="B161" s="881"/>
      <c r="C161" s="881"/>
      <c r="D161" s="881"/>
      <c r="E161" s="881"/>
      <c r="P161" s="825"/>
      <c r="R161" s="882"/>
      <c r="S161" s="882"/>
      <c r="T161" s="882"/>
      <c r="U161" s="882"/>
      <c r="V161" s="882"/>
      <c r="W161" s="882"/>
      <c r="X161" s="882"/>
      <c r="Y161" s="882"/>
    </row>
    <row r="162" spans="1:25" ht="12.75" customHeight="1" x14ac:dyDescent="0.2">
      <c r="A162" s="883"/>
      <c r="B162" s="881"/>
      <c r="C162" s="881"/>
      <c r="D162" s="881"/>
      <c r="E162" s="881"/>
      <c r="P162" s="825"/>
      <c r="R162" s="882"/>
      <c r="S162" s="882"/>
      <c r="T162" s="882"/>
      <c r="U162" s="882"/>
      <c r="V162" s="882"/>
      <c r="W162" s="882"/>
      <c r="X162" s="882"/>
      <c r="Y162" s="882"/>
    </row>
    <row r="163" spans="1:25" ht="12.75" customHeight="1" x14ac:dyDescent="0.2">
      <c r="A163" s="883"/>
      <c r="B163" s="881"/>
      <c r="C163" s="881"/>
      <c r="D163" s="881"/>
      <c r="E163" s="881"/>
      <c r="P163" s="825"/>
      <c r="R163" s="882"/>
      <c r="S163" s="882"/>
      <c r="T163" s="882"/>
      <c r="U163" s="882"/>
      <c r="V163" s="882"/>
      <c r="W163" s="882"/>
      <c r="X163" s="882"/>
      <c r="Y163" s="882"/>
    </row>
    <row r="164" spans="1:25" ht="12.75" customHeight="1" x14ac:dyDescent="0.2">
      <c r="A164" s="883"/>
      <c r="B164" s="881"/>
      <c r="C164" s="881"/>
      <c r="D164" s="881"/>
      <c r="E164" s="881"/>
      <c r="P164" s="825"/>
      <c r="R164" s="882"/>
      <c r="S164" s="882"/>
      <c r="T164" s="882"/>
      <c r="U164" s="882"/>
      <c r="V164" s="882"/>
      <c r="W164" s="882"/>
      <c r="X164" s="882"/>
      <c r="Y164" s="882"/>
    </row>
    <row r="165" spans="1:25" ht="12.75" customHeight="1" x14ac:dyDescent="0.2">
      <c r="A165" s="883"/>
      <c r="B165" s="881"/>
      <c r="C165" s="881"/>
      <c r="D165" s="881"/>
      <c r="E165" s="881"/>
      <c r="P165" s="825"/>
      <c r="R165" s="882"/>
      <c r="S165" s="882"/>
      <c r="T165" s="882"/>
      <c r="U165" s="882"/>
      <c r="V165" s="882"/>
      <c r="W165" s="882"/>
      <c r="X165" s="882"/>
      <c r="Y165" s="882"/>
    </row>
    <row r="166" spans="1:25" ht="12.75" customHeight="1" x14ac:dyDescent="0.2">
      <c r="A166" s="883"/>
      <c r="B166" s="881"/>
      <c r="C166" s="881"/>
      <c r="D166" s="881"/>
      <c r="E166" s="881"/>
      <c r="P166" s="825"/>
      <c r="R166" s="882"/>
      <c r="S166" s="882"/>
      <c r="T166" s="882"/>
      <c r="U166" s="882"/>
      <c r="V166" s="882"/>
      <c r="W166" s="882"/>
      <c r="X166" s="882"/>
      <c r="Y166" s="882"/>
    </row>
    <row r="167" spans="1:25" ht="12.75" customHeight="1" x14ac:dyDescent="0.2">
      <c r="A167" s="883"/>
      <c r="B167" s="881"/>
      <c r="C167" s="881"/>
      <c r="D167" s="881"/>
      <c r="E167" s="881"/>
      <c r="P167" s="825"/>
      <c r="R167" s="882"/>
      <c r="S167" s="882"/>
      <c r="T167" s="882"/>
      <c r="U167" s="882"/>
      <c r="V167" s="882"/>
      <c r="W167" s="882"/>
      <c r="X167" s="882"/>
      <c r="Y167" s="882"/>
    </row>
    <row r="168" spans="1:25" ht="12.75" customHeight="1" x14ac:dyDescent="0.2">
      <c r="A168" s="883"/>
      <c r="B168" s="881"/>
      <c r="C168" s="881"/>
      <c r="D168" s="881"/>
      <c r="E168" s="881"/>
      <c r="P168" s="825"/>
      <c r="R168" s="882"/>
      <c r="S168" s="882"/>
      <c r="T168" s="882"/>
      <c r="U168" s="882"/>
      <c r="V168" s="882"/>
      <c r="W168" s="882"/>
      <c r="X168" s="882"/>
      <c r="Y168" s="882"/>
    </row>
    <row r="169" spans="1:25" ht="12.75" customHeight="1" x14ac:dyDescent="0.2">
      <c r="A169" s="883"/>
      <c r="B169" s="881"/>
      <c r="C169" s="881"/>
      <c r="D169" s="881"/>
      <c r="E169" s="881"/>
      <c r="P169" s="825"/>
      <c r="R169" s="882"/>
      <c r="S169" s="882"/>
      <c r="T169" s="882"/>
      <c r="U169" s="882"/>
      <c r="V169" s="882"/>
      <c r="W169" s="882"/>
      <c r="X169" s="882"/>
      <c r="Y169" s="882"/>
    </row>
    <row r="170" spans="1:25" ht="12.75" customHeight="1" x14ac:dyDescent="0.2">
      <c r="A170" s="883"/>
      <c r="B170" s="881"/>
      <c r="C170" s="881"/>
      <c r="D170" s="881"/>
      <c r="E170" s="881"/>
      <c r="P170" s="825"/>
      <c r="R170" s="882"/>
      <c r="S170" s="882"/>
      <c r="T170" s="882"/>
      <c r="U170" s="882"/>
      <c r="V170" s="882"/>
      <c r="W170" s="882"/>
      <c r="X170" s="882"/>
      <c r="Y170" s="882"/>
    </row>
    <row r="171" spans="1:25" ht="12.75" customHeight="1" x14ac:dyDescent="0.2">
      <c r="A171" s="883"/>
      <c r="B171" s="881"/>
      <c r="C171" s="881"/>
      <c r="D171" s="881"/>
      <c r="E171" s="881"/>
      <c r="P171" s="825"/>
      <c r="R171" s="882"/>
      <c r="S171" s="882"/>
      <c r="T171" s="882"/>
      <c r="U171" s="882"/>
      <c r="V171" s="882"/>
      <c r="W171" s="882"/>
      <c r="X171" s="882"/>
      <c r="Y171" s="882"/>
    </row>
    <row r="172" spans="1:25" ht="12.75" customHeight="1" x14ac:dyDescent="0.2">
      <c r="A172" s="883"/>
      <c r="B172" s="881"/>
      <c r="C172" s="881"/>
      <c r="D172" s="881"/>
      <c r="E172" s="881"/>
      <c r="P172" s="825"/>
      <c r="R172" s="882"/>
      <c r="S172" s="882"/>
      <c r="T172" s="882"/>
      <c r="U172" s="882"/>
      <c r="V172" s="882"/>
      <c r="W172" s="882"/>
      <c r="X172" s="882"/>
      <c r="Y172" s="882"/>
    </row>
    <row r="173" spans="1:25" ht="12.75" customHeight="1" x14ac:dyDescent="0.2">
      <c r="A173" s="883"/>
      <c r="B173" s="881"/>
      <c r="C173" s="881"/>
      <c r="D173" s="881"/>
      <c r="E173" s="881"/>
      <c r="P173" s="825"/>
      <c r="R173" s="882"/>
      <c r="S173" s="882"/>
      <c r="T173" s="882"/>
      <c r="U173" s="882"/>
      <c r="V173" s="882"/>
      <c r="W173" s="882"/>
      <c r="X173" s="882"/>
      <c r="Y173" s="882"/>
    </row>
    <row r="174" spans="1:25" ht="12.75" customHeight="1" x14ac:dyDescent="0.2">
      <c r="A174" s="883"/>
      <c r="B174" s="881"/>
      <c r="C174" s="881"/>
      <c r="D174" s="881"/>
      <c r="E174" s="881"/>
      <c r="P174" s="825"/>
      <c r="R174" s="882"/>
      <c r="S174" s="882"/>
      <c r="T174" s="882"/>
      <c r="U174" s="882"/>
      <c r="V174" s="882"/>
      <c r="W174" s="882"/>
      <c r="X174" s="882"/>
      <c r="Y174" s="882"/>
    </row>
    <row r="175" spans="1:25" ht="12.75" customHeight="1" x14ac:dyDescent="0.2">
      <c r="A175" s="881"/>
      <c r="B175" s="881"/>
      <c r="C175" s="881"/>
      <c r="D175" s="881"/>
      <c r="E175" s="881"/>
      <c r="P175" s="825"/>
      <c r="R175" s="882"/>
      <c r="S175" s="882"/>
      <c r="T175" s="882"/>
      <c r="U175" s="882"/>
      <c r="V175" s="882"/>
      <c r="W175" s="882"/>
      <c r="X175" s="882"/>
      <c r="Y175" s="882"/>
    </row>
    <row r="176" spans="1:25" ht="12.75" customHeight="1" x14ac:dyDescent="0.2">
      <c r="A176" s="881"/>
      <c r="B176" s="881"/>
      <c r="C176" s="881"/>
      <c r="D176" s="881"/>
      <c r="E176" s="881"/>
      <c r="P176" s="825"/>
      <c r="R176" s="882"/>
      <c r="S176" s="882"/>
      <c r="T176" s="882"/>
      <c r="U176" s="882"/>
      <c r="V176" s="882"/>
      <c r="W176" s="882"/>
      <c r="X176" s="882"/>
      <c r="Y176" s="882"/>
    </row>
    <row r="177" spans="1:25" ht="12.75" customHeight="1" x14ac:dyDescent="0.2">
      <c r="A177" s="881"/>
      <c r="B177" s="881"/>
      <c r="C177" s="881"/>
      <c r="D177" s="881"/>
      <c r="E177" s="881"/>
      <c r="P177" s="825"/>
      <c r="R177" s="882"/>
      <c r="S177" s="882"/>
      <c r="T177" s="882"/>
      <c r="U177" s="882"/>
      <c r="V177" s="882"/>
      <c r="W177" s="882"/>
      <c r="X177" s="882"/>
      <c r="Y177" s="882"/>
    </row>
    <row r="178" spans="1:25" ht="12.75" customHeight="1" x14ac:dyDescent="0.2">
      <c r="A178" s="881"/>
      <c r="B178" s="881"/>
      <c r="C178" s="881"/>
      <c r="D178" s="881"/>
      <c r="E178" s="881"/>
      <c r="P178" s="825"/>
      <c r="R178" s="882"/>
      <c r="S178" s="882"/>
      <c r="T178" s="882"/>
      <c r="U178" s="882"/>
      <c r="V178" s="882"/>
      <c r="W178" s="882"/>
      <c r="X178" s="882"/>
      <c r="Y178" s="882"/>
    </row>
    <row r="179" spans="1:25" ht="12.75" customHeight="1" x14ac:dyDescent="0.2">
      <c r="A179" s="881"/>
      <c r="B179" s="881"/>
      <c r="C179" s="881"/>
      <c r="D179" s="881"/>
      <c r="E179" s="881"/>
      <c r="P179" s="825"/>
      <c r="R179" s="882"/>
      <c r="S179" s="882"/>
      <c r="T179" s="882"/>
      <c r="U179" s="882"/>
      <c r="V179" s="882"/>
      <c r="W179" s="882"/>
      <c r="X179" s="882"/>
      <c r="Y179" s="882"/>
    </row>
    <row r="180" spans="1:25" ht="12.75" customHeight="1" x14ac:dyDescent="0.2">
      <c r="A180" s="881"/>
      <c r="B180" s="881"/>
      <c r="C180" s="881"/>
      <c r="D180" s="881"/>
      <c r="E180" s="881"/>
      <c r="P180" s="825"/>
      <c r="R180" s="882"/>
      <c r="S180" s="882"/>
      <c r="T180" s="882"/>
      <c r="U180" s="882"/>
      <c r="V180" s="882"/>
      <c r="W180" s="882"/>
      <c r="X180" s="882"/>
      <c r="Y180" s="882"/>
    </row>
    <row r="181" spans="1:25" ht="12.75" customHeight="1" x14ac:dyDescent="0.2">
      <c r="A181" s="881"/>
      <c r="B181" s="881"/>
      <c r="C181" s="881"/>
      <c r="D181" s="881"/>
      <c r="E181" s="881"/>
      <c r="P181" s="825"/>
      <c r="R181" s="882"/>
      <c r="S181" s="882"/>
      <c r="T181" s="882"/>
      <c r="U181" s="882"/>
      <c r="V181" s="882"/>
      <c r="W181" s="882"/>
      <c r="X181" s="882"/>
      <c r="Y181" s="882"/>
    </row>
    <row r="182" spans="1:25" ht="12.75" customHeight="1" x14ac:dyDescent="0.2">
      <c r="A182" s="881"/>
      <c r="B182" s="881"/>
      <c r="C182" s="881"/>
      <c r="D182" s="881"/>
      <c r="E182" s="881"/>
      <c r="P182" s="825"/>
      <c r="R182" s="882"/>
      <c r="S182" s="882"/>
      <c r="T182" s="882"/>
      <c r="U182" s="882"/>
      <c r="V182" s="882"/>
      <c r="W182" s="882"/>
      <c r="X182" s="882"/>
      <c r="Y182" s="882"/>
    </row>
    <row r="183" spans="1:25" ht="12.75" customHeight="1" x14ac:dyDescent="0.2">
      <c r="A183" s="881"/>
      <c r="B183" s="881"/>
      <c r="C183" s="881"/>
      <c r="D183" s="881"/>
      <c r="E183" s="881"/>
      <c r="P183" s="825"/>
      <c r="R183" s="882"/>
      <c r="S183" s="882"/>
      <c r="T183" s="882"/>
      <c r="U183" s="882"/>
      <c r="V183" s="882"/>
      <c r="W183" s="882"/>
      <c r="X183" s="882"/>
      <c r="Y183" s="882"/>
    </row>
    <row r="184" spans="1:25" x14ac:dyDescent="0.2">
      <c r="A184" s="881"/>
      <c r="B184" s="881"/>
      <c r="C184" s="881"/>
      <c r="D184" s="881"/>
      <c r="E184" s="881"/>
      <c r="P184" s="825"/>
      <c r="R184" s="882"/>
      <c r="S184" s="882"/>
      <c r="T184" s="882"/>
      <c r="U184" s="882"/>
      <c r="V184" s="882"/>
      <c r="W184" s="882"/>
      <c r="X184" s="882"/>
      <c r="Y184" s="882"/>
    </row>
    <row r="185" spans="1:25" x14ac:dyDescent="0.2">
      <c r="A185" s="881"/>
      <c r="B185" s="881"/>
      <c r="C185" s="881"/>
      <c r="D185" s="881"/>
      <c r="E185" s="881"/>
      <c r="P185" s="825"/>
      <c r="R185" s="882"/>
      <c r="S185" s="882"/>
      <c r="T185" s="882"/>
      <c r="U185" s="882"/>
      <c r="V185" s="882"/>
      <c r="W185" s="882"/>
      <c r="X185" s="882"/>
      <c r="Y185" s="882"/>
    </row>
    <row r="186" spans="1:25" x14ac:dyDescent="0.2">
      <c r="A186" s="881"/>
      <c r="B186" s="881"/>
      <c r="C186" s="881"/>
      <c r="D186" s="881"/>
      <c r="E186" s="881"/>
      <c r="P186" s="825"/>
      <c r="R186" s="882"/>
      <c r="S186" s="882"/>
      <c r="T186" s="882"/>
      <c r="U186" s="882"/>
      <c r="V186" s="882"/>
      <c r="W186" s="882"/>
      <c r="X186" s="882"/>
      <c r="Y186" s="882"/>
    </row>
    <row r="187" spans="1:25" x14ac:dyDescent="0.2">
      <c r="A187" s="881"/>
      <c r="B187" s="881"/>
      <c r="C187" s="881"/>
      <c r="D187" s="881"/>
      <c r="E187" s="881"/>
      <c r="P187" s="825"/>
      <c r="R187" s="882"/>
      <c r="S187" s="882"/>
      <c r="T187" s="882"/>
      <c r="U187" s="882"/>
      <c r="V187" s="882"/>
      <c r="W187" s="882"/>
      <c r="X187" s="882"/>
      <c r="Y187" s="882"/>
    </row>
    <row r="188" spans="1:25" x14ac:dyDescent="0.2">
      <c r="A188" s="881"/>
      <c r="B188" s="881"/>
      <c r="C188" s="881"/>
      <c r="D188" s="881"/>
      <c r="E188" s="881"/>
      <c r="P188" s="825"/>
      <c r="R188" s="882"/>
      <c r="S188" s="882"/>
      <c r="T188" s="882"/>
      <c r="U188" s="882"/>
      <c r="V188" s="882"/>
      <c r="W188" s="882"/>
      <c r="X188" s="882"/>
      <c r="Y188" s="882"/>
    </row>
    <row r="189" spans="1:25" x14ac:dyDescent="0.2">
      <c r="A189" s="881"/>
      <c r="B189" s="881"/>
      <c r="C189" s="881"/>
      <c r="D189" s="881"/>
      <c r="E189" s="881"/>
      <c r="P189" s="825"/>
      <c r="R189" s="882"/>
      <c r="S189" s="882"/>
      <c r="T189" s="882"/>
      <c r="U189" s="882"/>
      <c r="V189" s="882"/>
      <c r="W189" s="882"/>
      <c r="X189" s="882"/>
      <c r="Y189" s="882"/>
    </row>
    <row r="190" spans="1:25" x14ac:dyDescent="0.2">
      <c r="A190" s="881"/>
      <c r="B190" s="881"/>
      <c r="C190" s="881"/>
      <c r="D190" s="881"/>
      <c r="E190" s="881"/>
      <c r="P190" s="825"/>
      <c r="R190" s="882"/>
      <c r="S190" s="882"/>
      <c r="T190" s="882"/>
      <c r="U190" s="882"/>
      <c r="V190" s="882"/>
      <c r="W190" s="882"/>
      <c r="X190" s="882"/>
      <c r="Y190" s="882"/>
    </row>
    <row r="191" spans="1:25" x14ac:dyDescent="0.2">
      <c r="A191" s="881"/>
      <c r="B191" s="881"/>
      <c r="C191" s="881"/>
      <c r="D191" s="881"/>
      <c r="E191" s="881"/>
      <c r="P191" s="825"/>
      <c r="R191" s="882"/>
      <c r="S191" s="882"/>
      <c r="T191" s="882"/>
      <c r="U191" s="882"/>
      <c r="V191" s="882"/>
      <c r="W191" s="882"/>
      <c r="X191" s="882"/>
      <c r="Y191" s="882"/>
    </row>
    <row r="192" spans="1:25" x14ac:dyDescent="0.2">
      <c r="A192" s="881"/>
      <c r="B192" s="881"/>
      <c r="C192" s="881"/>
      <c r="D192" s="881"/>
      <c r="E192" s="881"/>
      <c r="P192" s="825"/>
      <c r="R192" s="882"/>
      <c r="S192" s="882"/>
      <c r="T192" s="882"/>
      <c r="U192" s="882"/>
      <c r="V192" s="882"/>
      <c r="W192" s="882"/>
      <c r="X192" s="882"/>
      <c r="Y192" s="882"/>
    </row>
    <row r="193" spans="1:25" x14ac:dyDescent="0.2">
      <c r="A193" s="881"/>
      <c r="B193" s="881"/>
      <c r="C193" s="881"/>
      <c r="D193" s="881"/>
      <c r="E193" s="881"/>
      <c r="P193" s="825"/>
      <c r="R193" s="882"/>
      <c r="S193" s="882"/>
      <c r="T193" s="882"/>
      <c r="U193" s="882"/>
      <c r="V193" s="882"/>
      <c r="W193" s="882"/>
      <c r="X193" s="882"/>
      <c r="Y193" s="882"/>
    </row>
    <row r="194" spans="1:25" x14ac:dyDescent="0.2">
      <c r="A194" s="881"/>
      <c r="B194" s="881"/>
      <c r="C194" s="881"/>
      <c r="D194" s="881"/>
      <c r="E194" s="881"/>
      <c r="P194" s="825"/>
      <c r="R194" s="882"/>
      <c r="S194" s="882"/>
      <c r="T194" s="882"/>
      <c r="U194" s="882"/>
      <c r="V194" s="882"/>
      <c r="W194" s="882"/>
      <c r="X194" s="882"/>
      <c r="Y194" s="882"/>
    </row>
    <row r="195" spans="1:25" x14ac:dyDescent="0.2">
      <c r="A195" s="881"/>
      <c r="B195" s="881"/>
      <c r="C195" s="881"/>
      <c r="D195" s="881"/>
      <c r="E195" s="881"/>
      <c r="P195" s="825"/>
      <c r="R195" s="882"/>
      <c r="S195" s="882"/>
      <c r="T195" s="882"/>
      <c r="U195" s="882"/>
      <c r="V195" s="882"/>
      <c r="W195" s="882"/>
      <c r="X195" s="882"/>
      <c r="Y195" s="882"/>
    </row>
    <row r="196" spans="1:25" x14ac:dyDescent="0.2">
      <c r="A196" s="881"/>
      <c r="B196" s="881"/>
      <c r="C196" s="881"/>
      <c r="D196" s="881"/>
      <c r="E196" s="881"/>
      <c r="P196" s="825"/>
      <c r="R196" s="882"/>
      <c r="S196" s="882"/>
      <c r="T196" s="882"/>
      <c r="U196" s="882"/>
      <c r="V196" s="882"/>
      <c r="W196" s="882"/>
      <c r="X196" s="882"/>
      <c r="Y196" s="882"/>
    </row>
    <row r="197" spans="1:25" x14ac:dyDescent="0.2">
      <c r="A197" s="881"/>
      <c r="B197" s="881"/>
      <c r="C197" s="881"/>
      <c r="D197" s="881"/>
      <c r="E197" s="881"/>
      <c r="P197" s="825"/>
      <c r="R197" s="882"/>
      <c r="S197" s="882"/>
      <c r="T197" s="882"/>
      <c r="U197" s="882"/>
      <c r="V197" s="882"/>
      <c r="W197" s="882"/>
      <c r="X197" s="882"/>
      <c r="Y197" s="882"/>
    </row>
    <row r="198" spans="1:25" x14ac:dyDescent="0.2">
      <c r="A198" s="881"/>
      <c r="B198" s="881"/>
      <c r="C198" s="881"/>
      <c r="D198" s="881"/>
      <c r="E198" s="881"/>
      <c r="P198" s="825"/>
      <c r="R198" s="882"/>
      <c r="S198" s="882"/>
      <c r="T198" s="882"/>
      <c r="U198" s="882"/>
      <c r="V198" s="882"/>
      <c r="W198" s="882"/>
      <c r="X198" s="882"/>
      <c r="Y198" s="882"/>
    </row>
    <row r="199" spans="1:25" x14ac:dyDescent="0.2">
      <c r="A199" s="881"/>
      <c r="B199" s="881"/>
      <c r="C199" s="881"/>
      <c r="D199" s="881"/>
      <c r="E199" s="881"/>
      <c r="P199" s="825"/>
      <c r="R199" s="882"/>
      <c r="S199" s="882"/>
      <c r="T199" s="882"/>
      <c r="U199" s="882"/>
      <c r="V199" s="882"/>
      <c r="W199" s="882"/>
      <c r="X199" s="882"/>
      <c r="Y199" s="882"/>
    </row>
    <row r="200" spans="1:25" x14ac:dyDescent="0.2">
      <c r="A200" s="881"/>
      <c r="B200" s="881"/>
      <c r="C200" s="881"/>
      <c r="D200" s="881"/>
      <c r="E200" s="881"/>
      <c r="P200" s="825"/>
      <c r="R200" s="882"/>
      <c r="S200" s="882"/>
      <c r="T200" s="882"/>
      <c r="U200" s="882"/>
      <c r="V200" s="882"/>
      <c r="W200" s="882"/>
      <c r="X200" s="882"/>
      <c r="Y200" s="882"/>
    </row>
    <row r="201" spans="1:25" x14ac:dyDescent="0.2">
      <c r="A201" s="881"/>
      <c r="B201" s="881"/>
      <c r="C201" s="881"/>
      <c r="D201" s="881"/>
      <c r="E201" s="881"/>
      <c r="P201" s="825"/>
      <c r="R201" s="882"/>
      <c r="S201" s="882"/>
      <c r="T201" s="882"/>
      <c r="U201" s="882"/>
      <c r="V201" s="882"/>
      <c r="W201" s="882"/>
      <c r="X201" s="882"/>
      <c r="Y201" s="882"/>
    </row>
    <row r="202" spans="1:25" x14ac:dyDescent="0.2">
      <c r="A202" s="881"/>
      <c r="B202" s="881"/>
      <c r="C202" s="881"/>
      <c r="D202" s="881"/>
      <c r="E202" s="881"/>
      <c r="P202" s="825"/>
      <c r="R202" s="882"/>
      <c r="S202" s="882"/>
      <c r="T202" s="882"/>
      <c r="U202" s="882"/>
      <c r="V202" s="882"/>
      <c r="W202" s="882"/>
      <c r="X202" s="882"/>
      <c r="Y202" s="882"/>
    </row>
    <row r="203" spans="1:25" x14ac:dyDescent="0.2">
      <c r="A203" s="881"/>
      <c r="B203" s="881"/>
      <c r="C203" s="881"/>
      <c r="D203" s="881"/>
      <c r="E203" s="881"/>
      <c r="P203" s="825"/>
      <c r="R203" s="882"/>
      <c r="S203" s="882"/>
      <c r="T203" s="882"/>
      <c r="U203" s="882"/>
      <c r="V203" s="882"/>
      <c r="W203" s="882"/>
      <c r="X203" s="882"/>
      <c r="Y203" s="882"/>
    </row>
    <row r="204" spans="1:25" x14ac:dyDescent="0.2">
      <c r="A204" s="881"/>
      <c r="B204" s="881"/>
      <c r="C204" s="881"/>
      <c r="D204" s="881"/>
      <c r="E204" s="881"/>
      <c r="P204" s="825"/>
      <c r="R204" s="882"/>
      <c r="S204" s="882"/>
      <c r="T204" s="882"/>
      <c r="U204" s="882"/>
      <c r="V204" s="882"/>
      <c r="W204" s="882"/>
      <c r="X204" s="882"/>
      <c r="Y204" s="882"/>
    </row>
    <row r="205" spans="1:25" x14ac:dyDescent="0.2">
      <c r="A205" s="881"/>
      <c r="B205" s="881"/>
      <c r="C205" s="881"/>
      <c r="D205" s="881"/>
      <c r="E205" s="881"/>
      <c r="P205" s="825"/>
      <c r="R205" s="882"/>
      <c r="S205" s="882"/>
      <c r="T205" s="882"/>
      <c r="U205" s="882"/>
      <c r="V205" s="882"/>
      <c r="W205" s="882"/>
      <c r="X205" s="882"/>
      <c r="Y205" s="882"/>
    </row>
    <row r="206" spans="1:25" x14ac:dyDescent="0.2">
      <c r="A206" s="881"/>
      <c r="B206" s="881"/>
      <c r="C206" s="881"/>
      <c r="D206" s="881"/>
      <c r="E206" s="881"/>
      <c r="P206" s="825"/>
      <c r="R206" s="882"/>
      <c r="S206" s="882"/>
      <c r="T206" s="882"/>
      <c r="U206" s="882"/>
      <c r="V206" s="882"/>
      <c r="W206" s="882"/>
      <c r="X206" s="882"/>
      <c r="Y206" s="882"/>
    </row>
    <row r="207" spans="1:25" x14ac:dyDescent="0.2">
      <c r="A207" s="881"/>
      <c r="B207" s="881"/>
      <c r="C207" s="881"/>
      <c r="D207" s="881"/>
      <c r="E207" s="881"/>
      <c r="P207" s="825"/>
      <c r="R207" s="882"/>
      <c r="S207" s="882"/>
      <c r="T207" s="882"/>
      <c r="U207" s="882"/>
      <c r="V207" s="882"/>
      <c r="W207" s="882"/>
      <c r="X207" s="882"/>
      <c r="Y207" s="882"/>
    </row>
    <row r="208" spans="1:25" x14ac:dyDescent="0.2">
      <c r="A208" s="881"/>
      <c r="B208" s="881"/>
      <c r="C208" s="881"/>
      <c r="D208" s="881"/>
      <c r="E208" s="881"/>
      <c r="P208" s="825"/>
      <c r="R208" s="882"/>
      <c r="S208" s="882"/>
      <c r="T208" s="882"/>
      <c r="U208" s="882"/>
      <c r="V208" s="882"/>
      <c r="W208" s="882"/>
      <c r="X208" s="882"/>
      <c r="Y208" s="882"/>
    </row>
    <row r="209" spans="1:25" x14ac:dyDescent="0.2">
      <c r="A209" s="881"/>
      <c r="B209" s="881"/>
      <c r="C209" s="881"/>
      <c r="D209" s="881"/>
      <c r="E209" s="881"/>
      <c r="P209" s="825"/>
      <c r="R209" s="882"/>
      <c r="S209" s="882"/>
      <c r="T209" s="882"/>
      <c r="U209" s="882"/>
      <c r="V209" s="882"/>
      <c r="W209" s="882"/>
      <c r="X209" s="882"/>
      <c r="Y209" s="882"/>
    </row>
    <row r="210" spans="1:25" x14ac:dyDescent="0.2">
      <c r="A210" s="881"/>
      <c r="B210" s="881"/>
      <c r="C210" s="881"/>
      <c r="D210" s="881"/>
      <c r="E210" s="881"/>
      <c r="P210" s="825"/>
      <c r="R210" s="882"/>
      <c r="S210" s="882"/>
      <c r="T210" s="882"/>
      <c r="U210" s="882"/>
      <c r="V210" s="882"/>
      <c r="W210" s="882"/>
      <c r="X210" s="882"/>
      <c r="Y210" s="882"/>
    </row>
    <row r="211" spans="1:25" x14ac:dyDescent="0.2">
      <c r="A211" s="881"/>
      <c r="B211" s="881"/>
      <c r="C211" s="881"/>
      <c r="D211" s="881"/>
      <c r="E211" s="881"/>
      <c r="P211" s="825"/>
      <c r="R211" s="882"/>
      <c r="S211" s="882"/>
      <c r="T211" s="882"/>
      <c r="U211" s="882"/>
      <c r="V211" s="882"/>
      <c r="W211" s="882"/>
      <c r="X211" s="882"/>
      <c r="Y211" s="882"/>
    </row>
    <row r="212" spans="1:25" x14ac:dyDescent="0.2">
      <c r="A212" s="881"/>
      <c r="B212" s="881"/>
      <c r="C212" s="881"/>
      <c r="D212" s="881"/>
      <c r="E212" s="881"/>
      <c r="P212" s="825"/>
      <c r="R212" s="882"/>
      <c r="S212" s="882"/>
      <c r="T212" s="882"/>
      <c r="U212" s="882"/>
      <c r="V212" s="882"/>
      <c r="W212" s="882"/>
      <c r="X212" s="882"/>
      <c r="Y212" s="882"/>
    </row>
    <row r="213" spans="1:25" x14ac:dyDescent="0.2">
      <c r="A213" s="881"/>
      <c r="B213" s="881"/>
      <c r="C213" s="881"/>
      <c r="D213" s="881"/>
      <c r="E213" s="881"/>
      <c r="P213" s="825"/>
      <c r="R213" s="882"/>
      <c r="S213" s="882"/>
      <c r="T213" s="882"/>
      <c r="U213" s="882"/>
      <c r="V213" s="882"/>
      <c r="W213" s="882"/>
      <c r="X213" s="882"/>
      <c r="Y213" s="882"/>
    </row>
    <row r="214" spans="1:25" x14ac:dyDescent="0.2">
      <c r="A214" s="881"/>
      <c r="B214" s="881"/>
      <c r="C214" s="881"/>
      <c r="D214" s="881"/>
      <c r="E214" s="881"/>
      <c r="P214" s="825"/>
      <c r="R214" s="882"/>
      <c r="S214" s="882"/>
      <c r="T214" s="882"/>
      <c r="U214" s="882"/>
      <c r="V214" s="882"/>
      <c r="W214" s="882"/>
      <c r="X214" s="882"/>
      <c r="Y214" s="882"/>
    </row>
    <row r="215" spans="1:25" x14ac:dyDescent="0.2">
      <c r="A215" s="881"/>
      <c r="B215" s="881"/>
      <c r="C215" s="881"/>
      <c r="D215" s="881"/>
      <c r="E215" s="881"/>
      <c r="P215" s="825"/>
      <c r="R215" s="882"/>
      <c r="S215" s="882"/>
      <c r="T215" s="882"/>
      <c r="U215" s="882"/>
      <c r="V215" s="882"/>
      <c r="W215" s="882"/>
      <c r="X215" s="882"/>
      <c r="Y215" s="882"/>
    </row>
    <row r="216" spans="1:25" x14ac:dyDescent="0.2">
      <c r="A216" s="881"/>
      <c r="B216" s="881"/>
      <c r="C216" s="881"/>
      <c r="D216" s="881"/>
      <c r="E216" s="881"/>
      <c r="P216" s="825"/>
      <c r="R216" s="882"/>
      <c r="S216" s="882"/>
      <c r="T216" s="882"/>
      <c r="U216" s="882"/>
      <c r="V216" s="882"/>
      <c r="W216" s="882"/>
      <c r="X216" s="882"/>
      <c r="Y216" s="882"/>
    </row>
    <row r="217" spans="1:25" x14ac:dyDescent="0.2">
      <c r="A217" s="881"/>
      <c r="B217" s="881"/>
      <c r="C217" s="881"/>
      <c r="D217" s="881"/>
      <c r="E217" s="881"/>
      <c r="P217" s="825"/>
      <c r="R217" s="882"/>
      <c r="S217" s="882"/>
      <c r="T217" s="882"/>
      <c r="U217" s="882"/>
      <c r="V217" s="882"/>
      <c r="W217" s="882"/>
      <c r="X217" s="882"/>
      <c r="Y217" s="882"/>
    </row>
    <row r="218" spans="1:25" x14ac:dyDescent="0.2">
      <c r="A218" s="881"/>
      <c r="B218" s="881"/>
      <c r="C218" s="881"/>
      <c r="D218" s="881"/>
      <c r="E218" s="881"/>
      <c r="P218" s="825"/>
      <c r="R218" s="882"/>
      <c r="S218" s="882"/>
      <c r="T218" s="882"/>
      <c r="U218" s="882"/>
      <c r="V218" s="882"/>
      <c r="W218" s="882"/>
      <c r="X218" s="882"/>
      <c r="Y218" s="882"/>
    </row>
    <row r="219" spans="1:25" x14ac:dyDescent="0.2">
      <c r="A219" s="881"/>
      <c r="B219" s="881"/>
      <c r="C219" s="881"/>
      <c r="D219" s="881"/>
      <c r="E219" s="881"/>
      <c r="P219" s="825"/>
      <c r="R219" s="882"/>
      <c r="S219" s="882"/>
      <c r="T219" s="882"/>
      <c r="U219" s="882"/>
      <c r="V219" s="882"/>
      <c r="W219" s="882"/>
      <c r="X219" s="882"/>
      <c r="Y219" s="882"/>
    </row>
    <row r="220" spans="1:25" x14ac:dyDescent="0.2">
      <c r="A220" s="881"/>
      <c r="B220" s="881"/>
      <c r="C220" s="881"/>
      <c r="D220" s="881"/>
      <c r="E220" s="881"/>
      <c r="P220" s="825"/>
      <c r="R220" s="882"/>
      <c r="S220" s="882"/>
      <c r="T220" s="882"/>
      <c r="U220" s="882"/>
      <c r="V220" s="882"/>
      <c r="W220" s="882"/>
      <c r="X220" s="882"/>
      <c r="Y220" s="882"/>
    </row>
    <row r="221" spans="1:25" x14ac:dyDescent="0.2">
      <c r="A221" s="881"/>
      <c r="B221" s="881"/>
      <c r="C221" s="881"/>
      <c r="D221" s="881"/>
      <c r="E221" s="881"/>
      <c r="P221" s="825"/>
      <c r="R221" s="882"/>
      <c r="S221" s="882"/>
      <c r="T221" s="882"/>
      <c r="U221" s="882"/>
      <c r="V221" s="882"/>
      <c r="W221" s="882"/>
      <c r="X221" s="882"/>
      <c r="Y221" s="882"/>
    </row>
    <row r="222" spans="1:25" x14ac:dyDescent="0.2">
      <c r="A222" s="881"/>
      <c r="B222" s="881"/>
      <c r="C222" s="881"/>
      <c r="D222" s="881"/>
      <c r="E222" s="881"/>
      <c r="P222" s="825"/>
      <c r="R222" s="882"/>
      <c r="S222" s="882"/>
      <c r="T222" s="882"/>
      <c r="U222" s="882"/>
      <c r="V222" s="882"/>
      <c r="W222" s="882"/>
      <c r="X222" s="882"/>
      <c r="Y222" s="882"/>
    </row>
    <row r="223" spans="1:25" x14ac:dyDescent="0.2">
      <c r="A223" s="881"/>
      <c r="B223" s="881"/>
      <c r="C223" s="881"/>
      <c r="D223" s="881"/>
      <c r="E223" s="881"/>
      <c r="P223" s="825"/>
      <c r="R223" s="882"/>
      <c r="S223" s="882"/>
      <c r="T223" s="882"/>
      <c r="U223" s="882"/>
      <c r="V223" s="882"/>
      <c r="W223" s="882"/>
      <c r="X223" s="882"/>
      <c r="Y223" s="882"/>
    </row>
    <row r="224" spans="1:25" x14ac:dyDescent="0.2">
      <c r="A224" s="881"/>
      <c r="B224" s="881"/>
      <c r="C224" s="881"/>
      <c r="D224" s="881"/>
      <c r="E224" s="881"/>
      <c r="P224" s="825"/>
      <c r="R224" s="882"/>
      <c r="S224" s="882"/>
      <c r="T224" s="882"/>
      <c r="U224" s="882"/>
      <c r="V224" s="882"/>
      <c r="W224" s="882"/>
      <c r="X224" s="882"/>
      <c r="Y224" s="882"/>
    </row>
    <row r="225" spans="1:25" x14ac:dyDescent="0.2">
      <c r="A225" s="881"/>
      <c r="B225" s="881"/>
      <c r="C225" s="881"/>
      <c r="D225" s="881"/>
      <c r="E225" s="881"/>
      <c r="P225" s="825"/>
      <c r="R225" s="882"/>
      <c r="S225" s="882"/>
      <c r="T225" s="882"/>
      <c r="U225" s="882"/>
      <c r="V225" s="882"/>
      <c r="W225" s="882"/>
      <c r="X225" s="882"/>
      <c r="Y225" s="882"/>
    </row>
    <row r="226" spans="1:25" x14ac:dyDescent="0.2">
      <c r="A226" s="881"/>
      <c r="B226" s="881"/>
      <c r="C226" s="881"/>
      <c r="D226" s="881"/>
      <c r="E226" s="881"/>
      <c r="P226" s="825"/>
      <c r="R226" s="882"/>
      <c r="S226" s="882"/>
      <c r="T226" s="882"/>
      <c r="U226" s="882"/>
      <c r="V226" s="882"/>
      <c r="W226" s="882"/>
      <c r="X226" s="882"/>
      <c r="Y226" s="882"/>
    </row>
    <row r="227" spans="1:25" x14ac:dyDescent="0.2">
      <c r="A227" s="881"/>
      <c r="B227" s="881"/>
      <c r="C227" s="881"/>
      <c r="D227" s="881"/>
      <c r="E227" s="881"/>
      <c r="P227" s="825"/>
      <c r="R227" s="882"/>
      <c r="S227" s="882"/>
      <c r="T227" s="882"/>
      <c r="U227" s="882"/>
      <c r="V227" s="882"/>
      <c r="W227" s="882"/>
      <c r="X227" s="882"/>
      <c r="Y227" s="882"/>
    </row>
    <row r="228" spans="1:25" x14ac:dyDescent="0.2">
      <c r="A228" s="881"/>
      <c r="B228" s="881"/>
      <c r="C228" s="881"/>
      <c r="D228" s="881"/>
      <c r="E228" s="881"/>
      <c r="P228" s="825"/>
      <c r="R228" s="882"/>
      <c r="S228" s="882"/>
      <c r="T228" s="882"/>
      <c r="U228" s="882"/>
      <c r="V228" s="882"/>
      <c r="W228" s="882"/>
      <c r="X228" s="882"/>
      <c r="Y228" s="882"/>
    </row>
    <row r="229" spans="1:25" x14ac:dyDescent="0.2">
      <c r="A229" s="881"/>
      <c r="B229" s="881"/>
      <c r="C229" s="881"/>
      <c r="D229" s="881"/>
      <c r="E229" s="881"/>
      <c r="P229" s="825"/>
      <c r="R229" s="882"/>
      <c r="S229" s="882"/>
      <c r="T229" s="882"/>
      <c r="U229" s="882"/>
      <c r="V229" s="882"/>
      <c r="W229" s="882"/>
      <c r="X229" s="882"/>
      <c r="Y229" s="882"/>
    </row>
    <row r="230" spans="1:25" x14ac:dyDescent="0.2">
      <c r="A230" s="881"/>
      <c r="B230" s="881"/>
      <c r="C230" s="881"/>
      <c r="D230" s="881"/>
      <c r="E230" s="881"/>
      <c r="P230" s="825"/>
      <c r="R230" s="882"/>
      <c r="S230" s="882"/>
      <c r="T230" s="882"/>
      <c r="U230" s="882"/>
      <c r="V230" s="882"/>
      <c r="W230" s="882"/>
      <c r="X230" s="882"/>
      <c r="Y230" s="882"/>
    </row>
    <row r="231" spans="1:25" x14ac:dyDescent="0.2">
      <c r="A231" s="881"/>
      <c r="B231" s="881"/>
      <c r="C231" s="881"/>
      <c r="D231" s="881"/>
      <c r="E231" s="881"/>
      <c r="P231" s="825"/>
      <c r="R231" s="882"/>
      <c r="S231" s="882"/>
      <c r="T231" s="882"/>
      <c r="U231" s="882"/>
      <c r="V231" s="882"/>
      <c r="W231" s="882"/>
      <c r="X231" s="882"/>
      <c r="Y231" s="882"/>
    </row>
    <row r="232" spans="1:25" x14ac:dyDescent="0.2">
      <c r="A232" s="881"/>
      <c r="B232" s="881"/>
      <c r="C232" s="881"/>
      <c r="D232" s="881"/>
      <c r="E232" s="881"/>
      <c r="P232" s="825"/>
      <c r="R232" s="882"/>
      <c r="S232" s="882"/>
      <c r="T232" s="882"/>
      <c r="U232" s="882"/>
      <c r="V232" s="882"/>
      <c r="W232" s="882"/>
      <c r="X232" s="882"/>
      <c r="Y232" s="882"/>
    </row>
    <row r="233" spans="1:25" x14ac:dyDescent="0.2">
      <c r="A233" s="881"/>
      <c r="B233" s="881"/>
      <c r="C233" s="881"/>
      <c r="D233" s="881"/>
      <c r="E233" s="881"/>
      <c r="P233" s="825"/>
      <c r="R233" s="882"/>
      <c r="S233" s="882"/>
      <c r="T233" s="882"/>
      <c r="U233" s="882"/>
      <c r="V233" s="882"/>
      <c r="W233" s="882"/>
      <c r="X233" s="882"/>
      <c r="Y233" s="882"/>
    </row>
    <row r="234" spans="1:25" x14ac:dyDescent="0.2">
      <c r="A234" s="881"/>
      <c r="B234" s="881"/>
      <c r="C234" s="881"/>
      <c r="D234" s="881"/>
      <c r="E234" s="881"/>
      <c r="P234" s="825"/>
      <c r="R234" s="882"/>
      <c r="S234" s="882"/>
      <c r="T234" s="882"/>
      <c r="U234" s="882"/>
      <c r="V234" s="882"/>
      <c r="W234" s="882"/>
      <c r="X234" s="882"/>
      <c r="Y234" s="882"/>
    </row>
    <row r="235" spans="1:25" x14ac:dyDescent="0.2">
      <c r="A235" s="881"/>
      <c r="B235" s="881"/>
      <c r="C235" s="881"/>
      <c r="D235" s="881"/>
      <c r="E235" s="881"/>
      <c r="P235" s="825"/>
      <c r="R235" s="882"/>
      <c r="S235" s="882"/>
      <c r="T235" s="882"/>
      <c r="U235" s="882"/>
      <c r="V235" s="882"/>
      <c r="W235" s="882"/>
      <c r="X235" s="882"/>
      <c r="Y235" s="882"/>
    </row>
    <row r="236" spans="1:25" x14ac:dyDescent="0.2">
      <c r="A236" s="881"/>
      <c r="B236" s="881"/>
      <c r="C236" s="881"/>
      <c r="D236" s="881"/>
      <c r="E236" s="881"/>
      <c r="P236" s="825"/>
      <c r="R236" s="882"/>
      <c r="S236" s="882"/>
      <c r="T236" s="882"/>
      <c r="U236" s="882"/>
      <c r="V236" s="882"/>
      <c r="W236" s="882"/>
      <c r="X236" s="882"/>
      <c r="Y236" s="882"/>
    </row>
    <row r="237" spans="1:25" x14ac:dyDescent="0.2">
      <c r="A237" s="881"/>
      <c r="B237" s="881"/>
      <c r="C237" s="881"/>
      <c r="D237" s="881"/>
      <c r="E237" s="881"/>
      <c r="P237" s="825"/>
      <c r="R237" s="882"/>
      <c r="S237" s="882"/>
      <c r="T237" s="882"/>
      <c r="U237" s="882"/>
      <c r="V237" s="882"/>
      <c r="W237" s="882"/>
      <c r="X237" s="882"/>
      <c r="Y237" s="882"/>
    </row>
    <row r="238" spans="1:25" x14ac:dyDescent="0.2">
      <c r="A238" s="881"/>
      <c r="B238" s="881"/>
      <c r="C238" s="881"/>
      <c r="D238" s="881"/>
      <c r="E238" s="881"/>
      <c r="P238" s="825"/>
      <c r="R238" s="882"/>
      <c r="S238" s="882"/>
      <c r="T238" s="882"/>
      <c r="U238" s="882"/>
      <c r="V238" s="882"/>
      <c r="W238" s="882"/>
      <c r="X238" s="882"/>
      <c r="Y238" s="882"/>
    </row>
    <row r="239" spans="1:25" x14ac:dyDescent="0.2">
      <c r="A239" s="881"/>
      <c r="B239" s="881"/>
      <c r="C239" s="881"/>
      <c r="D239" s="881"/>
      <c r="E239" s="881"/>
      <c r="P239" s="825"/>
      <c r="R239" s="882"/>
      <c r="S239" s="882"/>
      <c r="T239" s="882"/>
      <c r="U239" s="882"/>
      <c r="V239" s="882"/>
      <c r="W239" s="882"/>
      <c r="X239" s="882"/>
      <c r="Y239" s="882"/>
    </row>
    <row r="240" spans="1:25" x14ac:dyDescent="0.2">
      <c r="A240" s="881"/>
      <c r="B240" s="881"/>
      <c r="C240" s="881"/>
      <c r="D240" s="881"/>
      <c r="E240" s="881"/>
      <c r="P240" s="825"/>
      <c r="R240" s="882"/>
      <c r="S240" s="882"/>
      <c r="T240" s="882"/>
      <c r="U240" s="882"/>
      <c r="V240" s="882"/>
      <c r="W240" s="882"/>
      <c r="X240" s="882"/>
      <c r="Y240" s="882"/>
    </row>
    <row r="241" spans="1:25" x14ac:dyDescent="0.2">
      <c r="A241" s="881"/>
      <c r="B241" s="881"/>
      <c r="C241" s="881"/>
      <c r="D241" s="881"/>
      <c r="E241" s="881"/>
      <c r="P241" s="825"/>
      <c r="R241" s="882"/>
      <c r="S241" s="882"/>
      <c r="T241" s="882"/>
      <c r="U241" s="882"/>
      <c r="V241" s="882"/>
      <c r="W241" s="882"/>
      <c r="X241" s="882"/>
      <c r="Y241" s="882"/>
    </row>
    <row r="242" spans="1:25" x14ac:dyDescent="0.2">
      <c r="A242" s="881"/>
      <c r="B242" s="881"/>
      <c r="C242" s="881"/>
      <c r="D242" s="881"/>
      <c r="E242" s="881"/>
      <c r="P242" s="825"/>
      <c r="R242" s="882"/>
      <c r="S242" s="882"/>
      <c r="T242" s="882"/>
      <c r="U242" s="882"/>
      <c r="V242" s="882"/>
      <c r="W242" s="882"/>
      <c r="X242" s="882"/>
      <c r="Y242" s="882"/>
    </row>
    <row r="243" spans="1:25" x14ac:dyDescent="0.2">
      <c r="A243" s="881"/>
      <c r="B243" s="881"/>
      <c r="C243" s="881"/>
      <c r="D243" s="881"/>
      <c r="E243" s="881"/>
      <c r="P243" s="825"/>
      <c r="R243" s="882"/>
      <c r="S243" s="882"/>
      <c r="T243" s="882"/>
      <c r="U243" s="882"/>
      <c r="V243" s="882"/>
      <c r="W243" s="882"/>
      <c r="X243" s="882"/>
      <c r="Y243" s="882"/>
    </row>
    <row r="244" spans="1:25" x14ac:dyDescent="0.2">
      <c r="A244" s="881"/>
      <c r="B244" s="881"/>
      <c r="C244" s="881"/>
      <c r="D244" s="881"/>
      <c r="E244" s="881"/>
      <c r="P244" s="825"/>
      <c r="R244" s="882"/>
      <c r="S244" s="882"/>
      <c r="T244" s="882"/>
      <c r="U244" s="882"/>
      <c r="V244" s="882"/>
      <c r="W244" s="882"/>
      <c r="X244" s="882"/>
      <c r="Y244" s="882"/>
    </row>
    <row r="245" spans="1:25" x14ac:dyDescent="0.2">
      <c r="A245" s="881"/>
      <c r="B245" s="881"/>
      <c r="C245" s="881"/>
      <c r="D245" s="881"/>
      <c r="E245" s="881"/>
      <c r="P245" s="825"/>
      <c r="R245" s="882"/>
      <c r="S245" s="882"/>
      <c r="T245" s="882"/>
      <c r="U245" s="882"/>
      <c r="V245" s="882"/>
      <c r="W245" s="882"/>
      <c r="X245" s="882"/>
      <c r="Y245" s="882"/>
    </row>
    <row r="246" spans="1:25" x14ac:dyDescent="0.2">
      <c r="A246" s="881"/>
      <c r="B246" s="881"/>
      <c r="C246" s="881"/>
      <c r="D246" s="881"/>
      <c r="E246" s="881"/>
      <c r="P246" s="825"/>
      <c r="R246" s="882"/>
      <c r="S246" s="882"/>
      <c r="T246" s="882"/>
      <c r="U246" s="882"/>
      <c r="V246" s="882"/>
      <c r="W246" s="882"/>
      <c r="X246" s="882"/>
      <c r="Y246" s="882"/>
    </row>
    <row r="247" spans="1:25" x14ac:dyDescent="0.2">
      <c r="A247" s="881"/>
      <c r="B247" s="881"/>
      <c r="C247" s="881"/>
      <c r="D247" s="881"/>
      <c r="E247" s="881"/>
      <c r="P247" s="825"/>
      <c r="R247" s="882"/>
      <c r="S247" s="882"/>
      <c r="T247" s="882"/>
      <c r="U247" s="882"/>
      <c r="V247" s="882"/>
      <c r="W247" s="882"/>
      <c r="X247" s="882"/>
      <c r="Y247" s="882"/>
    </row>
    <row r="248" spans="1:25" x14ac:dyDescent="0.2">
      <c r="A248" s="881"/>
      <c r="B248" s="881"/>
      <c r="C248" s="881"/>
      <c r="D248" s="881"/>
      <c r="E248" s="881"/>
      <c r="P248" s="825"/>
      <c r="R248" s="882"/>
      <c r="S248" s="882"/>
      <c r="T248" s="882"/>
      <c r="U248" s="882"/>
      <c r="V248" s="882"/>
      <c r="W248" s="882"/>
      <c r="X248" s="882"/>
      <c r="Y248" s="882"/>
    </row>
    <row r="249" spans="1:25" x14ac:dyDescent="0.2">
      <c r="A249" s="881"/>
      <c r="B249" s="881"/>
      <c r="C249" s="881"/>
      <c r="D249" s="881"/>
      <c r="E249" s="881"/>
      <c r="P249" s="825"/>
      <c r="R249" s="882"/>
      <c r="S249" s="882"/>
      <c r="T249" s="882"/>
      <c r="U249" s="882"/>
      <c r="V249" s="882"/>
      <c r="W249" s="882"/>
      <c r="X249" s="882"/>
      <c r="Y249" s="882"/>
    </row>
    <row r="250" spans="1:25" x14ac:dyDescent="0.2">
      <c r="A250" s="881"/>
      <c r="B250" s="881"/>
      <c r="C250" s="881"/>
      <c r="D250" s="881"/>
      <c r="E250" s="881"/>
      <c r="P250" s="825"/>
      <c r="R250" s="882"/>
      <c r="S250" s="882"/>
      <c r="T250" s="882"/>
      <c r="U250" s="882"/>
      <c r="V250" s="882"/>
      <c r="W250" s="882"/>
      <c r="X250" s="882"/>
      <c r="Y250" s="882"/>
    </row>
    <row r="251" spans="1:25" x14ac:dyDescent="0.2">
      <c r="A251" s="881"/>
      <c r="B251" s="881"/>
      <c r="C251" s="881"/>
      <c r="D251" s="881"/>
      <c r="E251" s="881"/>
      <c r="P251" s="825"/>
      <c r="R251" s="882"/>
      <c r="S251" s="882"/>
      <c r="T251" s="882"/>
      <c r="U251" s="882"/>
      <c r="V251" s="882"/>
      <c r="W251" s="882"/>
      <c r="X251" s="882"/>
      <c r="Y251" s="882"/>
    </row>
    <row r="252" spans="1:25" x14ac:dyDescent="0.2">
      <c r="A252" s="881"/>
      <c r="B252" s="881"/>
      <c r="C252" s="881"/>
      <c r="D252" s="881"/>
      <c r="E252" s="881"/>
      <c r="P252" s="825"/>
      <c r="R252" s="882"/>
      <c r="S252" s="882"/>
      <c r="T252" s="882"/>
      <c r="U252" s="882"/>
      <c r="V252" s="882"/>
      <c r="W252" s="882"/>
      <c r="X252" s="882"/>
      <c r="Y252" s="882"/>
    </row>
    <row r="253" spans="1:25" x14ac:dyDescent="0.2">
      <c r="A253" s="881"/>
      <c r="B253" s="881"/>
      <c r="C253" s="881"/>
      <c r="D253" s="881"/>
      <c r="E253" s="881"/>
      <c r="P253" s="825"/>
      <c r="R253" s="882"/>
      <c r="S253" s="882"/>
      <c r="T253" s="882"/>
      <c r="U253" s="882"/>
      <c r="V253" s="882"/>
      <c r="W253" s="882"/>
      <c r="X253" s="882"/>
      <c r="Y253" s="882"/>
    </row>
    <row r="254" spans="1:25" x14ac:dyDescent="0.2">
      <c r="A254" s="881"/>
      <c r="B254" s="881"/>
      <c r="C254" s="881"/>
      <c r="D254" s="881"/>
      <c r="E254" s="881"/>
      <c r="P254" s="825"/>
      <c r="R254" s="882"/>
      <c r="S254" s="882"/>
      <c r="T254" s="882"/>
      <c r="U254" s="882"/>
      <c r="V254" s="882"/>
      <c r="W254" s="882"/>
      <c r="X254" s="882"/>
      <c r="Y254" s="882"/>
    </row>
    <row r="255" spans="1:25" x14ac:dyDescent="0.2">
      <c r="A255" s="881"/>
      <c r="B255" s="881"/>
      <c r="C255" s="881"/>
      <c r="D255" s="881"/>
      <c r="E255" s="881"/>
      <c r="P255" s="825"/>
      <c r="R255" s="882"/>
      <c r="S255" s="882"/>
      <c r="T255" s="882"/>
      <c r="U255" s="882"/>
      <c r="V255" s="882"/>
      <c r="W255" s="882"/>
      <c r="X255" s="882"/>
      <c r="Y255" s="882"/>
    </row>
    <row r="256" spans="1:25" x14ac:dyDescent="0.2">
      <c r="A256" s="881"/>
      <c r="B256" s="881"/>
      <c r="C256" s="881"/>
      <c r="D256" s="881"/>
      <c r="E256" s="881"/>
      <c r="P256" s="825"/>
      <c r="R256" s="882"/>
      <c r="S256" s="882"/>
      <c r="T256" s="882"/>
      <c r="U256" s="882"/>
      <c r="V256" s="882"/>
      <c r="W256" s="882"/>
      <c r="X256" s="882"/>
      <c r="Y256" s="882"/>
    </row>
    <row r="257" spans="1:25" x14ac:dyDescent="0.2">
      <c r="A257" s="881"/>
      <c r="B257" s="881"/>
      <c r="C257" s="881"/>
      <c r="D257" s="881"/>
      <c r="E257" s="881"/>
      <c r="P257" s="825"/>
      <c r="R257" s="882"/>
      <c r="S257" s="882"/>
      <c r="T257" s="882"/>
      <c r="U257" s="882"/>
      <c r="V257" s="882"/>
      <c r="W257" s="882"/>
      <c r="X257" s="882"/>
      <c r="Y257" s="882"/>
    </row>
    <row r="258" spans="1:25" x14ac:dyDescent="0.2">
      <c r="A258" s="881"/>
      <c r="B258" s="881"/>
      <c r="C258" s="881"/>
      <c r="D258" s="881"/>
      <c r="E258" s="881"/>
      <c r="P258" s="825"/>
      <c r="R258" s="882"/>
      <c r="S258" s="882"/>
      <c r="T258" s="882"/>
      <c r="U258" s="882"/>
      <c r="V258" s="882"/>
      <c r="W258" s="882"/>
      <c r="X258" s="882"/>
      <c r="Y258" s="882"/>
    </row>
    <row r="259" spans="1:25" x14ac:dyDescent="0.2">
      <c r="A259" s="881"/>
      <c r="B259" s="881"/>
      <c r="C259" s="881"/>
      <c r="D259" s="881"/>
      <c r="E259" s="881"/>
      <c r="P259" s="825"/>
      <c r="R259" s="882"/>
      <c r="S259" s="882"/>
      <c r="T259" s="882"/>
      <c r="U259" s="882"/>
      <c r="V259" s="882"/>
      <c r="W259" s="882"/>
      <c r="X259" s="882"/>
      <c r="Y259" s="882"/>
    </row>
    <row r="260" spans="1:25" x14ac:dyDescent="0.2">
      <c r="A260" s="881"/>
      <c r="B260" s="881"/>
      <c r="C260" s="881"/>
      <c r="D260" s="881"/>
      <c r="E260" s="881"/>
      <c r="P260" s="825"/>
      <c r="R260" s="882"/>
      <c r="S260" s="882"/>
      <c r="T260" s="882"/>
      <c r="U260" s="882"/>
      <c r="V260" s="882"/>
      <c r="W260" s="882"/>
      <c r="X260" s="882"/>
      <c r="Y260" s="882"/>
    </row>
    <row r="261" spans="1:25" x14ac:dyDescent="0.2">
      <c r="A261" s="881"/>
      <c r="B261" s="881"/>
      <c r="C261" s="881"/>
      <c r="D261" s="881"/>
      <c r="E261" s="881"/>
      <c r="P261" s="825"/>
      <c r="R261" s="882"/>
      <c r="S261" s="882"/>
      <c r="T261" s="882"/>
      <c r="U261" s="882"/>
      <c r="V261" s="882"/>
      <c r="W261" s="882"/>
      <c r="X261" s="882"/>
      <c r="Y261" s="882"/>
    </row>
    <row r="262" spans="1:25" x14ac:dyDescent="0.2">
      <c r="A262" s="881"/>
      <c r="B262" s="881"/>
      <c r="C262" s="881"/>
      <c r="D262" s="881"/>
      <c r="E262" s="881"/>
      <c r="P262" s="825"/>
      <c r="R262" s="882"/>
      <c r="S262" s="882"/>
      <c r="T262" s="882"/>
      <c r="U262" s="882"/>
      <c r="V262" s="882"/>
      <c r="W262" s="882"/>
      <c r="X262" s="882"/>
      <c r="Y262" s="882"/>
    </row>
    <row r="263" spans="1:25" x14ac:dyDescent="0.2">
      <c r="A263" s="881"/>
      <c r="B263" s="881"/>
      <c r="C263" s="881"/>
      <c r="D263" s="881"/>
      <c r="E263" s="881"/>
      <c r="P263" s="825"/>
      <c r="R263" s="882"/>
      <c r="S263" s="882"/>
      <c r="T263" s="882"/>
      <c r="U263" s="882"/>
      <c r="V263" s="882"/>
      <c r="W263" s="882"/>
      <c r="X263" s="882"/>
      <c r="Y263" s="882"/>
    </row>
    <row r="264" spans="1:25" x14ac:dyDescent="0.2">
      <c r="A264" s="881"/>
      <c r="B264" s="881"/>
      <c r="C264" s="881"/>
      <c r="D264" s="881"/>
      <c r="E264" s="881"/>
      <c r="P264" s="825"/>
      <c r="R264" s="882"/>
      <c r="S264" s="882"/>
      <c r="T264" s="882"/>
      <c r="U264" s="882"/>
      <c r="V264" s="882"/>
      <c r="W264" s="882"/>
      <c r="X264" s="882"/>
      <c r="Y264" s="882"/>
    </row>
    <row r="265" spans="1:25" x14ac:dyDescent="0.2">
      <c r="A265" s="881"/>
      <c r="B265" s="881"/>
      <c r="C265" s="881"/>
      <c r="D265" s="881"/>
      <c r="E265" s="881"/>
      <c r="P265" s="825"/>
      <c r="R265" s="882"/>
      <c r="S265" s="882"/>
      <c r="T265" s="882"/>
      <c r="U265" s="882"/>
      <c r="V265" s="882"/>
      <c r="W265" s="882"/>
      <c r="X265" s="882"/>
      <c r="Y265" s="882"/>
    </row>
    <row r="266" spans="1:25" x14ac:dyDescent="0.2">
      <c r="A266" s="881"/>
      <c r="B266" s="881"/>
      <c r="C266" s="881"/>
      <c r="D266" s="881"/>
      <c r="E266" s="881"/>
      <c r="P266" s="825"/>
      <c r="R266" s="882"/>
      <c r="S266" s="882"/>
      <c r="T266" s="882"/>
      <c r="U266" s="882"/>
      <c r="V266" s="882"/>
      <c r="W266" s="882"/>
      <c r="X266" s="882"/>
      <c r="Y266" s="882"/>
    </row>
    <row r="267" spans="1:25" x14ac:dyDescent="0.2">
      <c r="A267" s="881"/>
      <c r="B267" s="881"/>
      <c r="C267" s="881"/>
      <c r="D267" s="881"/>
      <c r="E267" s="881"/>
      <c r="P267" s="825"/>
      <c r="R267" s="882"/>
      <c r="S267" s="882"/>
      <c r="T267" s="882"/>
      <c r="U267" s="882"/>
      <c r="V267" s="882"/>
      <c r="W267" s="882"/>
      <c r="X267" s="882"/>
      <c r="Y267" s="882"/>
    </row>
    <row r="268" spans="1:25" x14ac:dyDescent="0.2">
      <c r="A268" s="881"/>
      <c r="B268" s="881"/>
      <c r="C268" s="881"/>
      <c r="D268" s="881"/>
      <c r="E268" s="881"/>
      <c r="P268" s="825"/>
      <c r="R268" s="882"/>
      <c r="S268" s="882"/>
      <c r="T268" s="882"/>
      <c r="U268" s="882"/>
      <c r="V268" s="882"/>
      <c r="W268" s="882"/>
      <c r="X268" s="882"/>
      <c r="Y268" s="882"/>
    </row>
    <row r="269" spans="1:25" x14ac:dyDescent="0.2">
      <c r="A269" s="881"/>
      <c r="B269" s="881"/>
      <c r="C269" s="881"/>
      <c r="D269" s="881"/>
      <c r="E269" s="881"/>
      <c r="P269" s="825"/>
      <c r="R269" s="882"/>
      <c r="S269" s="882"/>
      <c r="T269" s="882"/>
      <c r="U269" s="882"/>
      <c r="V269" s="882"/>
      <c r="W269" s="882"/>
      <c r="X269" s="882"/>
      <c r="Y269" s="882"/>
    </row>
    <row r="270" spans="1:25" x14ac:dyDescent="0.2">
      <c r="A270" s="881"/>
      <c r="B270" s="881"/>
      <c r="C270" s="881"/>
      <c r="D270" s="881"/>
      <c r="E270" s="881"/>
      <c r="P270" s="825"/>
      <c r="R270" s="882"/>
      <c r="S270" s="882"/>
      <c r="T270" s="882"/>
      <c r="U270" s="882"/>
      <c r="V270" s="882"/>
      <c r="W270" s="882"/>
      <c r="X270" s="882"/>
      <c r="Y270" s="882"/>
    </row>
    <row r="271" spans="1:25" x14ac:dyDescent="0.2">
      <c r="A271" s="881"/>
      <c r="B271" s="881"/>
      <c r="C271" s="881"/>
      <c r="D271" s="881"/>
      <c r="E271" s="881"/>
      <c r="P271" s="825"/>
      <c r="R271" s="882"/>
      <c r="S271" s="882"/>
      <c r="T271" s="882"/>
      <c r="U271" s="882"/>
      <c r="V271" s="882"/>
      <c r="W271" s="882"/>
      <c r="X271" s="882"/>
      <c r="Y271" s="882"/>
    </row>
    <row r="272" spans="1:25" x14ac:dyDescent="0.2">
      <c r="A272" s="881"/>
      <c r="B272" s="881"/>
      <c r="C272" s="881"/>
      <c r="D272" s="881"/>
      <c r="E272" s="881"/>
      <c r="P272" s="825"/>
      <c r="R272" s="882"/>
      <c r="S272" s="882"/>
      <c r="T272" s="882"/>
      <c r="U272" s="882"/>
      <c r="V272" s="882"/>
      <c r="W272" s="882"/>
      <c r="X272" s="882"/>
      <c r="Y272" s="882"/>
    </row>
    <row r="273" spans="1:25" x14ac:dyDescent="0.2">
      <c r="A273" s="881"/>
      <c r="B273" s="881"/>
      <c r="C273" s="881"/>
      <c r="D273" s="881"/>
      <c r="E273" s="881"/>
      <c r="P273" s="825"/>
      <c r="R273" s="882"/>
      <c r="S273" s="882"/>
      <c r="T273" s="882"/>
      <c r="U273" s="882"/>
      <c r="V273" s="882"/>
      <c r="W273" s="882"/>
      <c r="X273" s="882"/>
      <c r="Y273" s="882"/>
    </row>
    <row r="274" spans="1:25" x14ac:dyDescent="0.2">
      <c r="A274" s="881"/>
      <c r="B274" s="881"/>
      <c r="C274" s="881"/>
      <c r="D274" s="881"/>
      <c r="E274" s="881"/>
      <c r="P274" s="825"/>
      <c r="R274" s="882"/>
      <c r="S274" s="882"/>
      <c r="T274" s="882"/>
      <c r="U274" s="882"/>
      <c r="V274" s="882"/>
      <c r="W274" s="882"/>
      <c r="X274" s="882"/>
      <c r="Y274" s="882"/>
    </row>
    <row r="275" spans="1:25" x14ac:dyDescent="0.2">
      <c r="A275" s="881"/>
      <c r="B275" s="881"/>
      <c r="C275" s="881"/>
      <c r="D275" s="881"/>
      <c r="E275" s="881"/>
      <c r="P275" s="825"/>
      <c r="R275" s="882"/>
      <c r="S275" s="882"/>
      <c r="T275" s="882"/>
      <c r="U275" s="882"/>
      <c r="V275" s="882"/>
      <c r="W275" s="882"/>
      <c r="X275" s="882"/>
      <c r="Y275" s="882"/>
    </row>
    <row r="276" spans="1:25" x14ac:dyDescent="0.2">
      <c r="A276" s="881"/>
      <c r="B276" s="881"/>
      <c r="C276" s="881"/>
      <c r="D276" s="881"/>
      <c r="E276" s="881"/>
      <c r="P276" s="825"/>
      <c r="R276" s="882"/>
      <c r="S276" s="882"/>
      <c r="T276" s="882"/>
      <c r="U276" s="882"/>
      <c r="V276" s="882"/>
      <c r="W276" s="882"/>
      <c r="X276" s="882"/>
      <c r="Y276" s="882"/>
    </row>
    <row r="277" spans="1:25" x14ac:dyDescent="0.2">
      <c r="A277" s="881"/>
      <c r="B277" s="881"/>
      <c r="C277" s="881"/>
      <c r="D277" s="881"/>
      <c r="E277" s="881"/>
      <c r="P277" s="825"/>
      <c r="R277" s="882"/>
      <c r="S277" s="882"/>
      <c r="T277" s="882"/>
      <c r="U277" s="882"/>
      <c r="V277" s="882"/>
      <c r="W277" s="882"/>
      <c r="X277" s="882"/>
      <c r="Y277" s="882"/>
    </row>
    <row r="278" spans="1:25" x14ac:dyDescent="0.2">
      <c r="A278" s="881"/>
      <c r="B278" s="881"/>
      <c r="C278" s="881"/>
      <c r="D278" s="881"/>
      <c r="E278" s="881"/>
      <c r="P278" s="825"/>
      <c r="R278" s="882"/>
      <c r="S278" s="882"/>
      <c r="T278" s="882"/>
      <c r="U278" s="882"/>
      <c r="V278" s="882"/>
      <c r="W278" s="882"/>
      <c r="X278" s="882"/>
      <c r="Y278" s="882"/>
    </row>
    <row r="279" spans="1:25" x14ac:dyDescent="0.2">
      <c r="A279" s="881"/>
      <c r="B279" s="881"/>
      <c r="C279" s="881"/>
      <c r="D279" s="881"/>
      <c r="E279" s="881"/>
      <c r="P279" s="825"/>
      <c r="R279" s="882"/>
      <c r="S279" s="882"/>
      <c r="T279" s="882"/>
      <c r="U279" s="882"/>
      <c r="V279" s="882"/>
      <c r="W279" s="882"/>
      <c r="X279" s="882"/>
      <c r="Y279" s="882"/>
    </row>
    <row r="280" spans="1:25" x14ac:dyDescent="0.2">
      <c r="A280" s="881"/>
      <c r="B280" s="881"/>
      <c r="C280" s="881"/>
      <c r="D280" s="881"/>
      <c r="E280" s="881"/>
      <c r="P280" s="825"/>
      <c r="R280" s="882"/>
      <c r="S280" s="882"/>
      <c r="T280" s="882"/>
      <c r="U280" s="882"/>
      <c r="V280" s="882"/>
      <c r="W280" s="882"/>
      <c r="X280" s="882"/>
      <c r="Y280" s="882"/>
    </row>
    <row r="281" spans="1:25" x14ac:dyDescent="0.2">
      <c r="A281" s="881"/>
      <c r="B281" s="881"/>
      <c r="C281" s="881"/>
      <c r="D281" s="881"/>
      <c r="E281" s="881"/>
      <c r="P281" s="825"/>
      <c r="R281" s="882"/>
      <c r="S281" s="882"/>
      <c r="T281" s="882"/>
      <c r="U281" s="882"/>
      <c r="V281" s="882"/>
      <c r="W281" s="882"/>
      <c r="X281" s="882"/>
      <c r="Y281" s="882"/>
    </row>
    <row r="282" spans="1:25" x14ac:dyDescent="0.2">
      <c r="A282" s="881"/>
      <c r="B282" s="881"/>
      <c r="C282" s="881"/>
      <c r="D282" s="881"/>
      <c r="E282" s="881"/>
      <c r="P282" s="825"/>
      <c r="R282" s="882"/>
      <c r="S282" s="882"/>
      <c r="T282" s="882"/>
      <c r="U282" s="882"/>
      <c r="V282" s="882"/>
      <c r="W282" s="882"/>
      <c r="X282" s="882"/>
      <c r="Y282" s="882"/>
    </row>
    <row r="283" spans="1:25" x14ac:dyDescent="0.2">
      <c r="A283" s="881"/>
      <c r="B283" s="881"/>
      <c r="C283" s="881"/>
      <c r="D283" s="881"/>
      <c r="E283" s="881"/>
      <c r="P283" s="825"/>
      <c r="R283" s="882"/>
      <c r="S283" s="882"/>
      <c r="T283" s="882"/>
      <c r="U283" s="882"/>
      <c r="V283" s="882"/>
      <c r="W283" s="882"/>
      <c r="X283" s="882"/>
      <c r="Y283" s="882"/>
    </row>
    <row r="284" spans="1:25" x14ac:dyDescent="0.2">
      <c r="A284" s="881"/>
      <c r="B284" s="881"/>
      <c r="C284" s="881"/>
      <c r="D284" s="881"/>
      <c r="E284" s="881"/>
      <c r="P284" s="825"/>
      <c r="R284" s="882"/>
      <c r="S284" s="882"/>
      <c r="T284" s="882"/>
      <c r="U284" s="882"/>
      <c r="V284" s="882"/>
      <c r="W284" s="882"/>
      <c r="X284" s="882"/>
      <c r="Y284" s="882"/>
    </row>
    <row r="285" spans="1:25" x14ac:dyDescent="0.2">
      <c r="A285" s="881"/>
      <c r="B285" s="881"/>
      <c r="C285" s="881"/>
      <c r="D285" s="881"/>
      <c r="E285" s="881"/>
      <c r="P285" s="825"/>
      <c r="R285" s="882"/>
      <c r="S285" s="882"/>
      <c r="T285" s="882"/>
      <c r="U285" s="882"/>
      <c r="V285" s="882"/>
      <c r="W285" s="882"/>
      <c r="X285" s="882"/>
      <c r="Y285" s="882"/>
    </row>
    <row r="286" spans="1:25" x14ac:dyDescent="0.2">
      <c r="A286" s="881"/>
      <c r="B286" s="881"/>
      <c r="C286" s="881"/>
      <c r="D286" s="881"/>
      <c r="E286" s="881"/>
      <c r="P286" s="825"/>
      <c r="R286" s="882"/>
      <c r="S286" s="882"/>
      <c r="T286" s="882"/>
      <c r="U286" s="882"/>
      <c r="V286" s="882"/>
      <c r="W286" s="882"/>
      <c r="X286" s="882"/>
      <c r="Y286" s="882"/>
    </row>
    <row r="287" spans="1:25" x14ac:dyDescent="0.2">
      <c r="A287" s="881"/>
      <c r="B287" s="881"/>
      <c r="C287" s="881"/>
      <c r="D287" s="881"/>
      <c r="E287" s="881"/>
      <c r="P287" s="825"/>
      <c r="R287" s="882"/>
      <c r="S287" s="882"/>
      <c r="T287" s="882"/>
      <c r="U287" s="882"/>
      <c r="V287" s="882"/>
      <c r="W287" s="882"/>
      <c r="X287" s="882"/>
      <c r="Y287" s="882"/>
    </row>
    <row r="288" spans="1:25" x14ac:dyDescent="0.2">
      <c r="A288" s="881"/>
      <c r="B288" s="881"/>
      <c r="C288" s="881"/>
      <c r="D288" s="881"/>
      <c r="E288" s="881"/>
      <c r="P288" s="825"/>
      <c r="R288" s="882"/>
      <c r="S288" s="882"/>
      <c r="T288" s="882"/>
      <c r="U288" s="882"/>
      <c r="V288" s="882"/>
      <c r="W288" s="882"/>
      <c r="X288" s="882"/>
      <c r="Y288" s="882"/>
    </row>
    <row r="289" spans="1:25" x14ac:dyDescent="0.2">
      <c r="A289" s="881"/>
      <c r="B289" s="881"/>
      <c r="C289" s="881"/>
      <c r="D289" s="881"/>
      <c r="E289" s="881"/>
      <c r="P289" s="825"/>
      <c r="R289" s="882"/>
      <c r="S289" s="882"/>
      <c r="T289" s="882"/>
      <c r="U289" s="882"/>
      <c r="V289" s="882"/>
      <c r="W289" s="882"/>
      <c r="X289" s="882"/>
      <c r="Y289" s="882"/>
    </row>
    <row r="290" spans="1:25" x14ac:dyDescent="0.2">
      <c r="A290" s="881"/>
      <c r="B290" s="881"/>
      <c r="C290" s="881"/>
      <c r="D290" s="881"/>
      <c r="E290" s="881"/>
      <c r="P290" s="825"/>
      <c r="R290" s="882"/>
      <c r="S290" s="882"/>
      <c r="T290" s="882"/>
      <c r="U290" s="882"/>
      <c r="V290" s="882"/>
      <c r="W290" s="882"/>
      <c r="X290" s="882"/>
      <c r="Y290" s="882"/>
    </row>
    <row r="291" spans="1:25" x14ac:dyDescent="0.2">
      <c r="A291" s="881"/>
      <c r="B291" s="881"/>
      <c r="C291" s="881"/>
      <c r="D291" s="881"/>
      <c r="E291" s="881"/>
      <c r="P291" s="825"/>
      <c r="R291" s="882"/>
      <c r="S291" s="882"/>
      <c r="T291" s="882"/>
      <c r="U291" s="882"/>
      <c r="V291" s="882"/>
      <c r="W291" s="882"/>
      <c r="X291" s="882"/>
      <c r="Y291" s="882"/>
    </row>
    <row r="292" spans="1:25" x14ac:dyDescent="0.2">
      <c r="A292" s="881"/>
      <c r="B292" s="881"/>
      <c r="C292" s="881"/>
      <c r="D292" s="881"/>
      <c r="E292" s="881"/>
      <c r="P292" s="825"/>
      <c r="R292" s="882"/>
      <c r="S292" s="882"/>
      <c r="T292" s="882"/>
      <c r="U292" s="882"/>
      <c r="V292" s="882"/>
      <c r="W292" s="882"/>
      <c r="X292" s="882"/>
      <c r="Y292" s="882"/>
    </row>
    <row r="293" spans="1:25" x14ac:dyDescent="0.2">
      <c r="A293" s="881"/>
      <c r="B293" s="881"/>
      <c r="C293" s="881"/>
      <c r="D293" s="881"/>
      <c r="E293" s="881"/>
      <c r="P293" s="825"/>
      <c r="R293" s="882"/>
      <c r="S293" s="882"/>
      <c r="T293" s="882"/>
      <c r="U293" s="882"/>
      <c r="V293" s="882"/>
      <c r="W293" s="882"/>
      <c r="X293" s="882"/>
      <c r="Y293" s="882"/>
    </row>
    <row r="294" spans="1:25" x14ac:dyDescent="0.2">
      <c r="A294" s="881"/>
      <c r="B294" s="881"/>
      <c r="C294" s="881"/>
      <c r="D294" s="881"/>
      <c r="E294" s="881"/>
      <c r="P294" s="825"/>
      <c r="R294" s="882"/>
      <c r="S294" s="882"/>
      <c r="T294" s="882"/>
      <c r="U294" s="882"/>
      <c r="V294" s="882"/>
      <c r="W294" s="882"/>
      <c r="X294" s="882"/>
      <c r="Y294" s="882"/>
    </row>
    <row r="295" spans="1:25" x14ac:dyDescent="0.2">
      <c r="A295" s="881"/>
      <c r="B295" s="881"/>
      <c r="C295" s="881"/>
      <c r="D295" s="881"/>
      <c r="E295" s="881"/>
      <c r="P295" s="825"/>
      <c r="R295" s="882"/>
      <c r="S295" s="882"/>
      <c r="T295" s="882"/>
      <c r="U295" s="882"/>
      <c r="V295" s="882"/>
      <c r="W295" s="882"/>
      <c r="X295" s="882"/>
      <c r="Y295" s="882"/>
    </row>
    <row r="296" spans="1:25" x14ac:dyDescent="0.2">
      <c r="A296" s="881"/>
      <c r="B296" s="881"/>
      <c r="C296" s="881"/>
      <c r="D296" s="881"/>
      <c r="E296" s="881"/>
      <c r="P296" s="825"/>
      <c r="R296" s="882"/>
      <c r="S296" s="882"/>
      <c r="T296" s="882"/>
      <c r="U296" s="882"/>
      <c r="V296" s="882"/>
      <c r="W296" s="882"/>
      <c r="X296" s="882"/>
      <c r="Y296" s="882"/>
    </row>
    <row r="297" spans="1:25" x14ac:dyDescent="0.2">
      <c r="A297" s="881"/>
      <c r="B297" s="881"/>
      <c r="C297" s="881"/>
      <c r="D297" s="881"/>
      <c r="E297" s="881"/>
      <c r="P297" s="825"/>
      <c r="R297" s="882"/>
      <c r="S297" s="882"/>
      <c r="T297" s="882"/>
      <c r="U297" s="882"/>
      <c r="V297" s="882"/>
      <c r="W297" s="882"/>
      <c r="X297" s="882"/>
      <c r="Y297" s="882"/>
    </row>
    <row r="298" spans="1:25" x14ac:dyDescent="0.2">
      <c r="A298" s="881"/>
      <c r="B298" s="881"/>
      <c r="C298" s="881"/>
      <c r="D298" s="881"/>
      <c r="E298" s="881"/>
      <c r="P298" s="825"/>
      <c r="R298" s="882"/>
      <c r="S298" s="882"/>
      <c r="T298" s="882"/>
      <c r="U298" s="882"/>
      <c r="V298" s="882"/>
      <c r="W298" s="882"/>
      <c r="X298" s="882"/>
      <c r="Y298" s="882"/>
    </row>
    <row r="299" spans="1:25" x14ac:dyDescent="0.2">
      <c r="A299" s="881"/>
      <c r="B299" s="881"/>
      <c r="C299" s="881"/>
      <c r="D299" s="881"/>
      <c r="E299" s="881"/>
      <c r="P299" s="825"/>
      <c r="R299" s="882"/>
      <c r="S299" s="882"/>
      <c r="T299" s="882"/>
      <c r="U299" s="882"/>
      <c r="V299" s="882"/>
      <c r="W299" s="882"/>
      <c r="X299" s="882"/>
      <c r="Y299" s="882"/>
    </row>
    <row r="300" spans="1:25" x14ac:dyDescent="0.2">
      <c r="A300" s="881"/>
      <c r="B300" s="881"/>
      <c r="C300" s="881"/>
      <c r="D300" s="881"/>
      <c r="E300" s="881"/>
      <c r="P300" s="825"/>
      <c r="R300" s="882"/>
      <c r="S300" s="882"/>
      <c r="T300" s="882"/>
      <c r="U300" s="882"/>
      <c r="V300" s="882"/>
      <c r="W300" s="882"/>
      <c r="X300" s="882"/>
      <c r="Y300" s="882"/>
    </row>
    <row r="301" spans="1:25" x14ac:dyDescent="0.2">
      <c r="A301" s="881"/>
      <c r="B301" s="881"/>
      <c r="C301" s="881"/>
      <c r="D301" s="881"/>
      <c r="E301" s="881"/>
      <c r="P301" s="825"/>
      <c r="R301" s="882"/>
      <c r="S301" s="882"/>
      <c r="T301" s="882"/>
      <c r="U301" s="882"/>
      <c r="V301" s="882"/>
      <c r="W301" s="882"/>
      <c r="X301" s="882"/>
      <c r="Y301" s="882"/>
    </row>
    <row r="302" spans="1:25" x14ac:dyDescent="0.2">
      <c r="A302" s="881"/>
      <c r="B302" s="881"/>
      <c r="C302" s="881"/>
      <c r="D302" s="881"/>
      <c r="E302" s="881"/>
      <c r="P302" s="825"/>
      <c r="R302" s="882"/>
      <c r="S302" s="882"/>
      <c r="T302" s="882"/>
      <c r="U302" s="882"/>
      <c r="V302" s="882"/>
      <c r="W302" s="882"/>
      <c r="X302" s="882"/>
      <c r="Y302" s="882"/>
    </row>
    <row r="303" spans="1:25" x14ac:dyDescent="0.2">
      <c r="A303" s="881"/>
      <c r="B303" s="881"/>
      <c r="C303" s="881"/>
      <c r="D303" s="881"/>
      <c r="E303" s="881"/>
      <c r="P303" s="825"/>
      <c r="R303" s="882"/>
      <c r="S303" s="882"/>
      <c r="T303" s="882"/>
      <c r="U303" s="882"/>
      <c r="V303" s="882"/>
      <c r="W303" s="882"/>
      <c r="X303" s="882"/>
      <c r="Y303" s="882"/>
    </row>
    <row r="304" spans="1:25" x14ac:dyDescent="0.2">
      <c r="A304" s="881"/>
      <c r="B304" s="881"/>
      <c r="C304" s="881"/>
      <c r="D304" s="881"/>
      <c r="E304" s="881"/>
      <c r="P304" s="825"/>
      <c r="R304" s="882"/>
      <c r="S304" s="882"/>
      <c r="T304" s="882"/>
      <c r="U304" s="882"/>
      <c r="V304" s="882"/>
      <c r="W304" s="882"/>
      <c r="X304" s="882"/>
      <c r="Y304" s="882"/>
    </row>
    <row r="305" spans="1:25" x14ac:dyDescent="0.2">
      <c r="A305" s="881"/>
      <c r="B305" s="881"/>
      <c r="C305" s="881"/>
      <c r="D305" s="881"/>
      <c r="E305" s="881"/>
      <c r="P305" s="825"/>
      <c r="R305" s="882"/>
      <c r="S305" s="882"/>
      <c r="T305" s="882"/>
      <c r="U305" s="882"/>
      <c r="V305" s="882"/>
      <c r="W305" s="882"/>
      <c r="X305" s="882"/>
      <c r="Y305" s="882"/>
    </row>
    <row r="306" spans="1:25" x14ac:dyDescent="0.2">
      <c r="A306" s="881"/>
      <c r="B306" s="881"/>
      <c r="C306" s="881"/>
      <c r="D306" s="881"/>
      <c r="E306" s="881"/>
      <c r="P306" s="825"/>
      <c r="R306" s="882"/>
      <c r="S306" s="882"/>
      <c r="T306" s="882"/>
      <c r="U306" s="882"/>
      <c r="V306" s="882"/>
      <c r="W306" s="882"/>
      <c r="X306" s="882"/>
      <c r="Y306" s="882"/>
    </row>
    <row r="307" spans="1:25" x14ac:dyDescent="0.2">
      <c r="A307" s="881"/>
      <c r="B307" s="881"/>
      <c r="C307" s="881"/>
      <c r="D307" s="881"/>
      <c r="E307" s="881"/>
      <c r="P307" s="825"/>
      <c r="R307" s="882"/>
      <c r="S307" s="882"/>
      <c r="T307" s="882"/>
      <c r="U307" s="882"/>
      <c r="V307" s="882"/>
      <c r="W307" s="882"/>
      <c r="X307" s="882"/>
      <c r="Y307" s="882"/>
    </row>
    <row r="308" spans="1:25" x14ac:dyDescent="0.2">
      <c r="A308" s="881"/>
      <c r="B308" s="881"/>
      <c r="C308" s="881"/>
      <c r="D308" s="881"/>
      <c r="E308" s="881"/>
      <c r="P308" s="825"/>
      <c r="R308" s="882"/>
      <c r="S308" s="882"/>
      <c r="T308" s="882"/>
      <c r="U308" s="882"/>
      <c r="V308" s="882"/>
      <c r="W308" s="882"/>
      <c r="X308" s="882"/>
      <c r="Y308" s="882"/>
    </row>
    <row r="309" spans="1:25" x14ac:dyDescent="0.2">
      <c r="A309" s="881"/>
      <c r="B309" s="881"/>
      <c r="C309" s="881"/>
      <c r="D309" s="881"/>
      <c r="E309" s="881"/>
      <c r="P309" s="825"/>
      <c r="R309" s="882"/>
      <c r="S309" s="882"/>
      <c r="T309" s="882"/>
      <c r="U309" s="882"/>
      <c r="V309" s="882"/>
      <c r="W309" s="882"/>
      <c r="X309" s="882"/>
      <c r="Y309" s="882"/>
    </row>
    <row r="310" spans="1:25" x14ac:dyDescent="0.2">
      <c r="A310" s="881"/>
      <c r="B310" s="881"/>
      <c r="C310" s="881"/>
      <c r="D310" s="881"/>
      <c r="E310" s="881"/>
      <c r="P310" s="825"/>
      <c r="R310" s="882"/>
      <c r="S310" s="882"/>
      <c r="T310" s="882"/>
      <c r="U310" s="882"/>
      <c r="V310" s="882"/>
      <c r="W310" s="882"/>
      <c r="X310" s="882"/>
      <c r="Y310" s="882"/>
    </row>
    <row r="311" spans="1:25" x14ac:dyDescent="0.2">
      <c r="A311" s="881"/>
      <c r="B311" s="881"/>
      <c r="C311" s="881"/>
      <c r="D311" s="881"/>
      <c r="E311" s="881"/>
      <c r="P311" s="825"/>
      <c r="R311" s="882"/>
      <c r="S311" s="882"/>
      <c r="T311" s="882"/>
      <c r="U311" s="882"/>
      <c r="V311" s="882"/>
      <c r="W311" s="882"/>
      <c r="X311" s="882"/>
      <c r="Y311" s="882"/>
    </row>
    <row r="312" spans="1:25" x14ac:dyDescent="0.2">
      <c r="A312" s="881"/>
      <c r="B312" s="881"/>
      <c r="C312" s="881"/>
      <c r="D312" s="881"/>
      <c r="E312" s="881"/>
      <c r="P312" s="825"/>
      <c r="R312" s="882"/>
      <c r="S312" s="882"/>
      <c r="T312" s="882"/>
      <c r="U312" s="882"/>
      <c r="V312" s="882"/>
      <c r="W312" s="882"/>
      <c r="X312" s="882"/>
      <c r="Y312" s="882"/>
    </row>
    <row r="313" spans="1:25" x14ac:dyDescent="0.2">
      <c r="A313" s="881"/>
      <c r="B313" s="881"/>
      <c r="C313" s="881"/>
      <c r="D313" s="881"/>
      <c r="E313" s="881"/>
      <c r="P313" s="825"/>
      <c r="R313" s="882"/>
      <c r="S313" s="882"/>
      <c r="T313" s="882"/>
      <c r="U313" s="882"/>
      <c r="V313" s="882"/>
      <c r="W313" s="882"/>
      <c r="X313" s="882"/>
      <c r="Y313" s="882"/>
    </row>
    <row r="314" spans="1:25" x14ac:dyDescent="0.2">
      <c r="A314" s="881"/>
      <c r="B314" s="881"/>
      <c r="C314" s="881"/>
      <c r="D314" s="881"/>
      <c r="E314" s="881"/>
      <c r="P314" s="825"/>
      <c r="R314" s="882"/>
      <c r="S314" s="882"/>
      <c r="T314" s="882"/>
      <c r="U314" s="882"/>
      <c r="V314" s="882"/>
      <c r="W314" s="882"/>
      <c r="X314" s="882"/>
      <c r="Y314" s="882"/>
    </row>
    <row r="315" spans="1:25" x14ac:dyDescent="0.2">
      <c r="A315" s="881"/>
      <c r="B315" s="881"/>
      <c r="C315" s="881"/>
      <c r="D315" s="881"/>
      <c r="E315" s="881"/>
      <c r="P315" s="825"/>
      <c r="R315" s="882"/>
      <c r="S315" s="882"/>
      <c r="T315" s="882"/>
      <c r="U315" s="882"/>
      <c r="V315" s="882"/>
      <c r="W315" s="882"/>
      <c r="X315" s="882"/>
      <c r="Y315" s="882"/>
    </row>
    <row r="316" spans="1:25" x14ac:dyDescent="0.2">
      <c r="A316" s="881"/>
      <c r="B316" s="881"/>
      <c r="C316" s="881"/>
      <c r="D316" s="881"/>
      <c r="E316" s="881"/>
      <c r="P316" s="825"/>
      <c r="R316" s="882"/>
      <c r="S316" s="882"/>
      <c r="T316" s="882"/>
      <c r="U316" s="882"/>
      <c r="V316" s="882"/>
      <c r="W316" s="882"/>
      <c r="X316" s="882"/>
      <c r="Y316" s="882"/>
    </row>
    <row r="317" spans="1:25" x14ac:dyDescent="0.2">
      <c r="A317" s="881"/>
      <c r="B317" s="881"/>
      <c r="C317" s="881"/>
      <c r="D317" s="881"/>
      <c r="E317" s="881"/>
      <c r="P317" s="825"/>
      <c r="R317" s="882"/>
      <c r="S317" s="882"/>
      <c r="T317" s="882"/>
      <c r="U317" s="882"/>
      <c r="V317" s="882"/>
      <c r="W317" s="882"/>
      <c r="X317" s="882"/>
      <c r="Y317" s="882"/>
    </row>
    <row r="318" spans="1:25" x14ac:dyDescent="0.2">
      <c r="A318" s="881"/>
      <c r="B318" s="881"/>
      <c r="C318" s="881"/>
      <c r="D318" s="881"/>
      <c r="E318" s="881"/>
      <c r="P318" s="825"/>
      <c r="R318" s="882"/>
      <c r="S318" s="882"/>
      <c r="T318" s="882"/>
      <c r="U318" s="882"/>
      <c r="V318" s="882"/>
      <c r="W318" s="882"/>
      <c r="X318" s="882"/>
      <c r="Y318" s="882"/>
    </row>
    <row r="319" spans="1:25" x14ac:dyDescent="0.2">
      <c r="A319" s="881"/>
      <c r="B319" s="881"/>
      <c r="C319" s="881"/>
      <c r="D319" s="881"/>
      <c r="E319" s="881"/>
      <c r="P319" s="825"/>
      <c r="R319" s="882"/>
      <c r="S319" s="882"/>
      <c r="T319" s="882"/>
      <c r="U319" s="882"/>
      <c r="V319" s="882"/>
      <c r="W319" s="882"/>
      <c r="X319" s="882"/>
      <c r="Y319" s="882"/>
    </row>
    <row r="320" spans="1:25" x14ac:dyDescent="0.2">
      <c r="A320" s="881"/>
      <c r="B320" s="881"/>
      <c r="C320" s="881"/>
      <c r="D320" s="881"/>
      <c r="E320" s="881"/>
      <c r="P320" s="825"/>
      <c r="R320" s="882"/>
      <c r="S320" s="882"/>
      <c r="T320" s="882"/>
      <c r="U320" s="882"/>
      <c r="V320" s="882"/>
      <c r="W320" s="882"/>
      <c r="X320" s="882"/>
      <c r="Y320" s="882"/>
    </row>
    <row r="321" spans="1:25" x14ac:dyDescent="0.2">
      <c r="A321" s="881"/>
      <c r="B321" s="881"/>
      <c r="C321" s="881"/>
      <c r="D321" s="881"/>
      <c r="E321" s="881"/>
      <c r="P321" s="825"/>
      <c r="R321" s="882"/>
      <c r="S321" s="882"/>
      <c r="T321" s="882"/>
      <c r="U321" s="882"/>
      <c r="V321" s="882"/>
      <c r="W321" s="882"/>
      <c r="X321" s="882"/>
      <c r="Y321" s="882"/>
    </row>
    <row r="322" spans="1:25" x14ac:dyDescent="0.2">
      <c r="A322" s="881"/>
      <c r="B322" s="881"/>
      <c r="C322" s="881"/>
      <c r="D322" s="881"/>
      <c r="E322" s="881"/>
      <c r="P322" s="825"/>
      <c r="R322" s="882"/>
      <c r="S322" s="882"/>
      <c r="T322" s="882"/>
      <c r="U322" s="882"/>
      <c r="V322" s="882"/>
      <c r="W322" s="882"/>
      <c r="X322" s="882"/>
      <c r="Y322" s="882"/>
    </row>
    <row r="323" spans="1:25" x14ac:dyDescent="0.2">
      <c r="A323" s="881"/>
      <c r="B323" s="881"/>
      <c r="C323" s="881"/>
      <c r="D323" s="881"/>
      <c r="E323" s="881"/>
      <c r="P323" s="825"/>
      <c r="R323" s="882"/>
      <c r="S323" s="882"/>
      <c r="T323" s="882"/>
      <c r="U323" s="882"/>
      <c r="V323" s="882"/>
      <c r="W323" s="882"/>
      <c r="X323" s="882"/>
      <c r="Y323" s="882"/>
    </row>
    <row r="324" spans="1:25" x14ac:dyDescent="0.2">
      <c r="A324" s="881"/>
      <c r="B324" s="881"/>
      <c r="C324" s="881"/>
      <c r="D324" s="881"/>
      <c r="E324" s="881"/>
      <c r="P324" s="825"/>
      <c r="R324" s="882"/>
      <c r="S324" s="882"/>
      <c r="T324" s="882"/>
      <c r="U324" s="882"/>
      <c r="V324" s="882"/>
      <c r="W324" s="882"/>
      <c r="X324" s="882"/>
      <c r="Y324" s="882"/>
    </row>
    <row r="325" spans="1:25" x14ac:dyDescent="0.2">
      <c r="A325" s="881"/>
      <c r="B325" s="881"/>
      <c r="C325" s="881"/>
      <c r="D325" s="881"/>
      <c r="E325" s="881"/>
      <c r="P325" s="825"/>
      <c r="R325" s="882"/>
      <c r="S325" s="882"/>
      <c r="T325" s="882"/>
      <c r="U325" s="882"/>
      <c r="V325" s="882"/>
      <c r="W325" s="882"/>
      <c r="X325" s="882"/>
      <c r="Y325" s="882"/>
    </row>
    <row r="326" spans="1:25" x14ac:dyDescent="0.2">
      <c r="A326" s="881"/>
      <c r="B326" s="881"/>
      <c r="C326" s="881"/>
      <c r="D326" s="881"/>
      <c r="E326" s="881"/>
      <c r="P326" s="825"/>
      <c r="R326" s="882"/>
      <c r="S326" s="882"/>
      <c r="T326" s="882"/>
      <c r="U326" s="882"/>
      <c r="V326" s="882"/>
      <c r="W326" s="882"/>
      <c r="X326" s="882"/>
      <c r="Y326" s="882"/>
    </row>
    <row r="327" spans="1:25" x14ac:dyDescent="0.2">
      <c r="A327" s="881"/>
      <c r="B327" s="881"/>
      <c r="C327" s="881"/>
      <c r="D327" s="881"/>
      <c r="E327" s="881"/>
      <c r="P327" s="825"/>
      <c r="R327" s="882"/>
      <c r="S327" s="882"/>
      <c r="T327" s="882"/>
      <c r="U327" s="882"/>
      <c r="V327" s="882"/>
      <c r="W327" s="882"/>
      <c r="X327" s="882"/>
      <c r="Y327" s="882"/>
    </row>
    <row r="328" spans="1:25" x14ac:dyDescent="0.2">
      <c r="A328" s="881"/>
      <c r="B328" s="881"/>
      <c r="C328" s="881"/>
      <c r="D328" s="881"/>
      <c r="E328" s="881"/>
      <c r="P328" s="825"/>
      <c r="R328" s="882"/>
      <c r="S328" s="882"/>
      <c r="T328" s="882"/>
      <c r="U328" s="882"/>
      <c r="V328" s="882"/>
      <c r="W328" s="882"/>
      <c r="X328" s="882"/>
      <c r="Y328" s="882"/>
    </row>
    <row r="329" spans="1:25" x14ac:dyDescent="0.2">
      <c r="A329" s="881"/>
      <c r="B329" s="881"/>
      <c r="C329" s="881"/>
      <c r="D329" s="881"/>
      <c r="E329" s="881"/>
      <c r="P329" s="825"/>
      <c r="R329" s="882"/>
      <c r="S329" s="882"/>
      <c r="T329" s="882"/>
      <c r="U329" s="882"/>
      <c r="V329" s="882"/>
      <c r="W329" s="882"/>
      <c r="X329" s="882"/>
      <c r="Y329" s="882"/>
    </row>
    <row r="330" spans="1:25" x14ac:dyDescent="0.2">
      <c r="A330" s="881"/>
      <c r="B330" s="881"/>
      <c r="C330" s="881"/>
      <c r="D330" s="881"/>
      <c r="E330" s="881"/>
      <c r="P330" s="825"/>
      <c r="R330" s="882"/>
      <c r="S330" s="882"/>
      <c r="T330" s="882"/>
      <c r="U330" s="882"/>
      <c r="V330" s="882"/>
      <c r="W330" s="882"/>
      <c r="X330" s="882"/>
      <c r="Y330" s="882"/>
    </row>
    <row r="331" spans="1:25" x14ac:dyDescent="0.2">
      <c r="A331" s="881"/>
      <c r="B331" s="881"/>
      <c r="C331" s="881"/>
      <c r="D331" s="881"/>
      <c r="E331" s="881"/>
      <c r="P331" s="825"/>
      <c r="R331" s="882"/>
      <c r="S331" s="882"/>
      <c r="T331" s="882"/>
      <c r="U331" s="882"/>
      <c r="V331" s="882"/>
      <c r="W331" s="882"/>
      <c r="X331" s="882"/>
      <c r="Y331" s="882"/>
    </row>
    <row r="332" spans="1:25" x14ac:dyDescent="0.2">
      <c r="A332" s="881"/>
      <c r="B332" s="881"/>
      <c r="C332" s="881"/>
      <c r="D332" s="881"/>
      <c r="E332" s="881"/>
      <c r="P332" s="825"/>
      <c r="R332" s="882"/>
      <c r="S332" s="882"/>
      <c r="T332" s="882"/>
      <c r="U332" s="882"/>
      <c r="V332" s="882"/>
      <c r="W332" s="882"/>
      <c r="X332" s="882"/>
      <c r="Y332" s="882"/>
    </row>
    <row r="333" spans="1:25" x14ac:dyDescent="0.2">
      <c r="A333" s="881"/>
      <c r="B333" s="881"/>
      <c r="C333" s="881"/>
      <c r="D333" s="881"/>
      <c r="E333" s="881"/>
      <c r="P333" s="825"/>
      <c r="R333" s="882"/>
      <c r="S333" s="882"/>
      <c r="T333" s="882"/>
      <c r="U333" s="882"/>
      <c r="V333" s="882"/>
      <c r="W333" s="882"/>
      <c r="X333" s="882"/>
      <c r="Y333" s="882"/>
    </row>
    <row r="334" spans="1:25" x14ac:dyDescent="0.2">
      <c r="A334" s="881"/>
      <c r="B334" s="881"/>
      <c r="C334" s="881"/>
      <c r="D334" s="881"/>
      <c r="E334" s="881"/>
      <c r="P334" s="825"/>
      <c r="R334" s="882"/>
      <c r="S334" s="882"/>
      <c r="T334" s="882"/>
      <c r="U334" s="882"/>
      <c r="V334" s="882"/>
      <c r="W334" s="882"/>
      <c r="X334" s="882"/>
      <c r="Y334" s="882"/>
    </row>
    <row r="335" spans="1:25" x14ac:dyDescent="0.2">
      <c r="A335" s="881"/>
      <c r="B335" s="881"/>
      <c r="C335" s="881"/>
      <c r="D335" s="881"/>
      <c r="E335" s="881"/>
      <c r="P335" s="825"/>
      <c r="R335" s="882"/>
      <c r="S335" s="882"/>
      <c r="T335" s="882"/>
      <c r="U335" s="882"/>
      <c r="V335" s="882"/>
      <c r="W335" s="882"/>
      <c r="X335" s="882"/>
      <c r="Y335" s="882"/>
    </row>
    <row r="336" spans="1:25" x14ac:dyDescent="0.2">
      <c r="A336" s="881"/>
      <c r="B336" s="881"/>
      <c r="C336" s="881"/>
      <c r="D336" s="881"/>
      <c r="E336" s="881"/>
      <c r="P336" s="825"/>
      <c r="R336" s="882"/>
      <c r="S336" s="882"/>
      <c r="T336" s="882"/>
      <c r="U336" s="882"/>
      <c r="V336" s="882"/>
      <c r="W336" s="882"/>
      <c r="X336" s="882"/>
      <c r="Y336" s="882"/>
    </row>
    <row r="337" spans="1:25" x14ac:dyDescent="0.2">
      <c r="A337" s="881"/>
      <c r="B337" s="881"/>
      <c r="C337" s="881"/>
      <c r="D337" s="881"/>
      <c r="E337" s="881"/>
      <c r="P337" s="825"/>
      <c r="R337" s="882"/>
      <c r="S337" s="882"/>
      <c r="T337" s="882"/>
      <c r="U337" s="882"/>
      <c r="V337" s="882"/>
      <c r="W337" s="882"/>
      <c r="X337" s="882"/>
      <c r="Y337" s="882"/>
    </row>
    <row r="338" spans="1:25" x14ac:dyDescent="0.2">
      <c r="A338" s="881"/>
      <c r="B338" s="881"/>
      <c r="C338" s="881"/>
      <c r="D338" s="881"/>
      <c r="E338" s="881"/>
      <c r="P338" s="825"/>
      <c r="R338" s="882"/>
      <c r="S338" s="882"/>
      <c r="T338" s="882"/>
      <c r="U338" s="882"/>
      <c r="V338" s="882"/>
      <c r="W338" s="882"/>
      <c r="X338" s="882"/>
      <c r="Y338" s="882"/>
    </row>
    <row r="339" spans="1:25" x14ac:dyDescent="0.2">
      <c r="A339" s="881"/>
      <c r="B339" s="881"/>
      <c r="C339" s="881"/>
      <c r="D339" s="881"/>
      <c r="E339" s="881"/>
      <c r="P339" s="825"/>
      <c r="R339" s="882"/>
      <c r="S339" s="882"/>
      <c r="T339" s="882"/>
      <c r="U339" s="882"/>
      <c r="V339" s="882"/>
      <c r="W339" s="882"/>
      <c r="X339" s="882"/>
      <c r="Y339" s="882"/>
    </row>
    <row r="340" spans="1:25" x14ac:dyDescent="0.2">
      <c r="A340" s="881"/>
      <c r="B340" s="881"/>
      <c r="C340" s="881"/>
      <c r="D340" s="881"/>
      <c r="E340" s="881"/>
      <c r="P340" s="825"/>
      <c r="R340" s="882"/>
      <c r="S340" s="882"/>
      <c r="T340" s="882"/>
      <c r="U340" s="882"/>
      <c r="V340" s="882"/>
      <c r="W340" s="882"/>
      <c r="X340" s="882"/>
      <c r="Y340" s="882"/>
    </row>
    <row r="341" spans="1:25" x14ac:dyDescent="0.2">
      <c r="A341" s="881"/>
      <c r="B341" s="881"/>
      <c r="C341" s="881"/>
      <c r="D341" s="881"/>
      <c r="E341" s="881"/>
      <c r="P341" s="825"/>
      <c r="R341" s="882"/>
      <c r="S341" s="882"/>
      <c r="T341" s="882"/>
      <c r="U341" s="882"/>
      <c r="V341" s="882"/>
      <c r="W341" s="882"/>
      <c r="X341" s="882"/>
      <c r="Y341" s="882"/>
    </row>
    <row r="342" spans="1:25" x14ac:dyDescent="0.2">
      <c r="A342" s="881"/>
      <c r="B342" s="881"/>
      <c r="C342" s="881"/>
      <c r="D342" s="881"/>
      <c r="E342" s="881"/>
      <c r="P342" s="825"/>
      <c r="R342" s="882"/>
      <c r="S342" s="882"/>
      <c r="T342" s="882"/>
      <c r="U342" s="882"/>
      <c r="V342" s="882"/>
      <c r="W342" s="882"/>
      <c r="X342" s="882"/>
      <c r="Y342" s="882"/>
    </row>
    <row r="343" spans="1:25" x14ac:dyDescent="0.2">
      <c r="A343" s="881"/>
      <c r="B343" s="881"/>
      <c r="C343" s="881"/>
      <c r="D343" s="881"/>
      <c r="E343" s="881"/>
      <c r="R343" s="882"/>
      <c r="S343" s="882"/>
      <c r="T343" s="882"/>
      <c r="U343" s="882"/>
      <c r="V343" s="882"/>
      <c r="W343" s="882"/>
      <c r="X343" s="882"/>
      <c r="Y343" s="882"/>
    </row>
    <row r="344" spans="1:25" x14ac:dyDescent="0.2">
      <c r="A344" s="881"/>
      <c r="B344" s="881"/>
      <c r="C344" s="881"/>
      <c r="D344" s="881"/>
      <c r="E344" s="881"/>
      <c r="R344" s="882"/>
      <c r="S344" s="882"/>
      <c r="T344" s="882"/>
      <c r="U344" s="882"/>
      <c r="V344" s="882"/>
      <c r="W344" s="882"/>
      <c r="X344" s="882"/>
      <c r="Y344" s="882"/>
    </row>
    <row r="345" spans="1:25" x14ac:dyDescent="0.2">
      <c r="A345" s="881"/>
      <c r="B345" s="881"/>
      <c r="C345" s="881"/>
      <c r="D345" s="881"/>
      <c r="E345" s="881"/>
      <c r="R345" s="882"/>
      <c r="S345" s="882"/>
      <c r="T345" s="882"/>
      <c r="U345" s="882"/>
      <c r="V345" s="882"/>
      <c r="W345" s="882"/>
      <c r="X345" s="882"/>
      <c r="Y345" s="882"/>
    </row>
    <row r="346" spans="1:25" x14ac:dyDescent="0.2">
      <c r="A346" s="881"/>
      <c r="B346" s="881"/>
      <c r="C346" s="881"/>
      <c r="D346" s="881"/>
      <c r="E346" s="881"/>
      <c r="R346" s="882"/>
      <c r="S346" s="882"/>
      <c r="T346" s="882"/>
      <c r="U346" s="882"/>
      <c r="V346" s="882"/>
      <c r="W346" s="882"/>
      <c r="X346" s="882"/>
      <c r="Y346" s="882"/>
    </row>
    <row r="347" spans="1:25" x14ac:dyDescent="0.2">
      <c r="A347" s="881"/>
      <c r="B347" s="881"/>
      <c r="C347" s="881"/>
      <c r="D347" s="881"/>
      <c r="E347" s="881"/>
      <c r="R347" s="882"/>
      <c r="S347" s="882"/>
      <c r="T347" s="882"/>
      <c r="U347" s="882"/>
      <c r="V347" s="882"/>
      <c r="W347" s="882"/>
      <c r="X347" s="882"/>
      <c r="Y347" s="882"/>
    </row>
    <row r="348" spans="1:25" x14ac:dyDescent="0.2">
      <c r="A348" s="881"/>
      <c r="B348" s="881"/>
      <c r="C348" s="881"/>
      <c r="D348" s="881"/>
      <c r="E348" s="881"/>
      <c r="R348" s="882"/>
      <c r="S348" s="882"/>
      <c r="T348" s="882"/>
      <c r="U348" s="882"/>
      <c r="V348" s="882"/>
      <c r="W348" s="882"/>
      <c r="X348" s="882"/>
      <c r="Y348" s="882"/>
    </row>
    <row r="349" spans="1:25" x14ac:dyDescent="0.2">
      <c r="A349" s="881"/>
      <c r="B349" s="881"/>
      <c r="C349" s="881"/>
      <c r="D349" s="881"/>
      <c r="E349" s="881"/>
      <c r="R349" s="882"/>
      <c r="S349" s="882"/>
      <c r="T349" s="882"/>
      <c r="U349" s="882"/>
      <c r="V349" s="882"/>
      <c r="W349" s="882"/>
      <c r="X349" s="882"/>
      <c r="Y349" s="882"/>
    </row>
    <row r="350" spans="1:25" x14ac:dyDescent="0.2">
      <c r="A350" s="881"/>
      <c r="B350" s="881"/>
      <c r="C350" s="881"/>
      <c r="D350" s="881"/>
      <c r="E350" s="881"/>
      <c r="R350" s="882"/>
      <c r="S350" s="882"/>
      <c r="T350" s="882"/>
      <c r="U350" s="882"/>
      <c r="V350" s="882"/>
      <c r="W350" s="882"/>
      <c r="X350" s="882"/>
      <c r="Y350" s="882"/>
    </row>
    <row r="351" spans="1:25" x14ac:dyDescent="0.2">
      <c r="A351" s="881"/>
      <c r="B351" s="881"/>
      <c r="C351" s="881"/>
      <c r="D351" s="881"/>
      <c r="E351" s="881"/>
      <c r="R351" s="882"/>
      <c r="S351" s="882"/>
      <c r="T351" s="882"/>
      <c r="U351" s="882"/>
      <c r="V351" s="882"/>
      <c r="W351" s="882"/>
      <c r="X351" s="882"/>
      <c r="Y351" s="882"/>
    </row>
    <row r="352" spans="1:25" x14ac:dyDescent="0.2">
      <c r="A352" s="881"/>
      <c r="B352" s="881"/>
      <c r="C352" s="881"/>
      <c r="D352" s="881"/>
      <c r="E352" s="881"/>
      <c r="R352" s="882"/>
      <c r="S352" s="882"/>
      <c r="T352" s="882"/>
      <c r="U352" s="882"/>
      <c r="V352" s="882"/>
      <c r="W352" s="882"/>
      <c r="X352" s="882"/>
      <c r="Y352" s="882"/>
    </row>
    <row r="353" spans="1:25" x14ac:dyDescent="0.2">
      <c r="A353" s="881"/>
      <c r="B353" s="881"/>
      <c r="C353" s="881"/>
      <c r="D353" s="881"/>
      <c r="E353" s="881"/>
      <c r="R353" s="882"/>
      <c r="S353" s="882"/>
      <c r="T353" s="882"/>
      <c r="U353" s="882"/>
      <c r="V353" s="882"/>
      <c r="W353" s="882"/>
      <c r="X353" s="882"/>
      <c r="Y353" s="882"/>
    </row>
    <row r="354" spans="1:25" x14ac:dyDescent="0.2">
      <c r="A354" s="881"/>
      <c r="B354" s="881"/>
      <c r="C354" s="881"/>
      <c r="D354" s="881"/>
      <c r="E354" s="881"/>
      <c r="R354" s="882"/>
      <c r="S354" s="882"/>
      <c r="T354" s="882"/>
      <c r="U354" s="882"/>
      <c r="V354" s="882"/>
      <c r="W354" s="882"/>
      <c r="X354" s="882"/>
      <c r="Y354" s="882"/>
    </row>
    <row r="355" spans="1:25" x14ac:dyDescent="0.2">
      <c r="A355" s="881"/>
      <c r="B355" s="881"/>
      <c r="C355" s="881"/>
      <c r="D355" s="881"/>
      <c r="E355" s="881"/>
      <c r="R355" s="882"/>
      <c r="S355" s="882"/>
      <c r="T355" s="882"/>
      <c r="U355" s="882"/>
      <c r="V355" s="882"/>
      <c r="W355" s="882"/>
      <c r="X355" s="882"/>
      <c r="Y355" s="882"/>
    </row>
    <row r="356" spans="1:25" x14ac:dyDescent="0.2">
      <c r="A356" s="881"/>
      <c r="B356" s="881"/>
      <c r="C356" s="881"/>
      <c r="D356" s="881"/>
      <c r="E356" s="881"/>
      <c r="R356" s="882"/>
      <c r="S356" s="882"/>
      <c r="T356" s="882"/>
      <c r="U356" s="882"/>
      <c r="V356" s="882"/>
      <c r="W356" s="882"/>
      <c r="X356" s="882"/>
      <c r="Y356" s="882"/>
    </row>
    <row r="357" spans="1:25" x14ac:dyDescent="0.2">
      <c r="A357" s="881"/>
      <c r="B357" s="881"/>
      <c r="C357" s="881"/>
      <c r="D357" s="881"/>
      <c r="E357" s="881"/>
      <c r="P357" s="884"/>
      <c r="R357" s="882"/>
      <c r="S357" s="882"/>
      <c r="T357" s="882"/>
      <c r="U357" s="882"/>
      <c r="V357" s="882"/>
      <c r="W357" s="882"/>
      <c r="X357" s="882"/>
      <c r="Y357" s="882"/>
    </row>
    <row r="358" spans="1:25" x14ac:dyDescent="0.2">
      <c r="A358" s="881"/>
      <c r="B358" s="881"/>
      <c r="C358" s="881"/>
      <c r="D358" s="881"/>
      <c r="E358" s="881"/>
      <c r="R358" s="882"/>
      <c r="S358" s="882"/>
      <c r="T358" s="882"/>
      <c r="U358" s="882"/>
      <c r="V358" s="882"/>
      <c r="W358" s="882"/>
      <c r="X358" s="882"/>
      <c r="Y358" s="882"/>
    </row>
    <row r="359" spans="1:25" x14ac:dyDescent="0.2">
      <c r="A359" s="881"/>
      <c r="B359" s="881"/>
      <c r="C359" s="881"/>
      <c r="D359" s="881"/>
      <c r="E359" s="881"/>
      <c r="R359" s="882"/>
      <c r="S359" s="882"/>
      <c r="T359" s="882"/>
      <c r="U359" s="882"/>
      <c r="V359" s="882"/>
      <c r="W359" s="882"/>
      <c r="X359" s="882"/>
      <c r="Y359" s="882"/>
    </row>
    <row r="360" spans="1:25" x14ac:dyDescent="0.2">
      <c r="A360" s="881"/>
      <c r="B360" s="881"/>
      <c r="C360" s="881"/>
      <c r="D360" s="881"/>
      <c r="E360" s="881"/>
      <c r="R360" s="882"/>
      <c r="S360" s="882"/>
      <c r="T360" s="882"/>
      <c r="U360" s="882"/>
      <c r="V360" s="882"/>
      <c r="W360" s="882"/>
      <c r="X360" s="882"/>
      <c r="Y360" s="882"/>
    </row>
    <row r="361" spans="1:25" x14ac:dyDescent="0.2">
      <c r="A361" s="881"/>
      <c r="B361" s="881"/>
      <c r="C361" s="881"/>
      <c r="D361" s="881"/>
      <c r="E361" s="881"/>
      <c r="R361" s="882"/>
      <c r="S361" s="882"/>
      <c r="T361" s="882"/>
      <c r="U361" s="882"/>
      <c r="V361" s="882"/>
      <c r="W361" s="882"/>
      <c r="X361" s="882"/>
      <c r="Y361" s="882"/>
    </row>
    <row r="362" spans="1:25" x14ac:dyDescent="0.2">
      <c r="A362" s="881"/>
      <c r="B362" s="881"/>
      <c r="C362" s="881"/>
      <c r="D362" s="881"/>
      <c r="E362" s="881"/>
      <c r="R362" s="882"/>
      <c r="S362" s="882"/>
      <c r="T362" s="882"/>
      <c r="U362" s="882"/>
      <c r="V362" s="882"/>
      <c r="W362" s="882"/>
      <c r="X362" s="882"/>
      <c r="Y362" s="882"/>
    </row>
    <row r="363" spans="1:25" x14ac:dyDescent="0.2">
      <c r="A363" s="881"/>
      <c r="B363" s="881"/>
      <c r="C363" s="881"/>
      <c r="D363" s="881"/>
      <c r="E363" s="881"/>
      <c r="R363" s="882"/>
      <c r="S363" s="882"/>
      <c r="T363" s="882"/>
      <c r="U363" s="882"/>
      <c r="V363" s="882"/>
      <c r="W363" s="882"/>
      <c r="X363" s="882"/>
      <c r="Y363" s="882"/>
    </row>
    <row r="364" spans="1:25" x14ac:dyDescent="0.2">
      <c r="A364" s="881"/>
      <c r="B364" s="881"/>
      <c r="C364" s="881"/>
      <c r="D364" s="881"/>
      <c r="E364" s="881"/>
      <c r="R364" s="882"/>
      <c r="S364" s="882"/>
      <c r="T364" s="882"/>
      <c r="U364" s="882"/>
      <c r="V364" s="882"/>
      <c r="W364" s="882"/>
      <c r="X364" s="882"/>
      <c r="Y364" s="882"/>
    </row>
    <row r="365" spans="1:25" x14ac:dyDescent="0.2">
      <c r="A365" s="881"/>
      <c r="B365" s="881"/>
      <c r="C365" s="881"/>
      <c r="D365" s="881"/>
      <c r="E365" s="881"/>
      <c r="R365" s="882"/>
      <c r="S365" s="882"/>
      <c r="T365" s="882"/>
      <c r="U365" s="882"/>
      <c r="V365" s="882"/>
      <c r="W365" s="882"/>
      <c r="X365" s="882"/>
      <c r="Y365" s="882"/>
    </row>
    <row r="366" spans="1:25" x14ac:dyDescent="0.2">
      <c r="A366" s="881"/>
      <c r="B366" s="881"/>
      <c r="C366" s="881"/>
      <c r="D366" s="881"/>
      <c r="E366" s="881"/>
      <c r="P366" s="884"/>
      <c r="R366" s="882"/>
      <c r="S366" s="882"/>
      <c r="T366" s="882"/>
      <c r="U366" s="882"/>
      <c r="V366" s="882"/>
      <c r="W366" s="882"/>
      <c r="X366" s="882"/>
      <c r="Y366" s="882"/>
    </row>
    <row r="367" spans="1:25" x14ac:dyDescent="0.2">
      <c r="A367" s="881"/>
      <c r="B367" s="881"/>
      <c r="C367" s="881"/>
      <c r="D367" s="881"/>
      <c r="E367" s="881"/>
      <c r="R367" s="882"/>
      <c r="S367" s="882"/>
      <c r="T367" s="882"/>
      <c r="U367" s="882"/>
      <c r="V367" s="882"/>
      <c r="W367" s="882"/>
      <c r="X367" s="882"/>
      <c r="Y367" s="882"/>
    </row>
    <row r="368" spans="1:25" x14ac:dyDescent="0.2">
      <c r="A368" s="881"/>
      <c r="B368" s="881"/>
      <c r="C368" s="881"/>
      <c r="D368" s="881"/>
      <c r="E368" s="881"/>
      <c r="R368" s="882"/>
      <c r="S368" s="882"/>
      <c r="T368" s="882"/>
      <c r="U368" s="882"/>
      <c r="V368" s="882"/>
      <c r="W368" s="882"/>
      <c r="X368" s="882"/>
      <c r="Y368" s="882"/>
    </row>
    <row r="369" spans="1:25" x14ac:dyDescent="0.2">
      <c r="A369" s="881"/>
      <c r="B369" s="881"/>
      <c r="C369" s="881"/>
      <c r="D369" s="881"/>
      <c r="E369" s="881"/>
      <c r="R369" s="882"/>
      <c r="S369" s="882"/>
      <c r="T369" s="882"/>
      <c r="U369" s="882"/>
      <c r="V369" s="882"/>
      <c r="W369" s="882"/>
      <c r="X369" s="882"/>
      <c r="Y369" s="882"/>
    </row>
    <row r="370" spans="1:25" x14ac:dyDescent="0.2">
      <c r="A370" s="881"/>
      <c r="B370" s="881"/>
      <c r="C370" s="881"/>
      <c r="D370" s="881"/>
      <c r="E370" s="881"/>
      <c r="R370" s="882"/>
      <c r="S370" s="882"/>
      <c r="T370" s="882"/>
      <c r="U370" s="882"/>
      <c r="V370" s="882"/>
      <c r="W370" s="882"/>
      <c r="X370" s="882"/>
      <c r="Y370" s="882"/>
    </row>
    <row r="371" spans="1:25" x14ac:dyDescent="0.2">
      <c r="A371" s="881"/>
      <c r="B371" s="881"/>
      <c r="C371" s="881"/>
      <c r="D371" s="881"/>
      <c r="E371" s="881"/>
      <c r="R371" s="882"/>
      <c r="S371" s="882"/>
      <c r="T371" s="882"/>
      <c r="U371" s="882"/>
      <c r="V371" s="882"/>
      <c r="W371" s="882"/>
      <c r="X371" s="882"/>
      <c r="Y371" s="882"/>
    </row>
    <row r="372" spans="1:25" x14ac:dyDescent="0.2">
      <c r="A372" s="881"/>
      <c r="B372" s="881"/>
      <c r="C372" s="881"/>
      <c r="D372" s="881"/>
      <c r="E372" s="881"/>
      <c r="R372" s="882"/>
      <c r="S372" s="882"/>
      <c r="T372" s="882"/>
      <c r="U372" s="882"/>
      <c r="V372" s="882"/>
      <c r="W372" s="882"/>
      <c r="X372" s="882"/>
      <c r="Y372" s="882"/>
    </row>
    <row r="373" spans="1:25" x14ac:dyDescent="0.2">
      <c r="A373" s="881"/>
      <c r="B373" s="881"/>
      <c r="C373" s="881"/>
      <c r="D373" s="881"/>
      <c r="E373" s="881"/>
      <c r="R373" s="882"/>
      <c r="S373" s="882"/>
      <c r="T373" s="882"/>
      <c r="U373" s="882"/>
      <c r="V373" s="882"/>
      <c r="W373" s="882"/>
      <c r="X373" s="882"/>
      <c r="Y373" s="882"/>
    </row>
    <row r="374" spans="1:25" x14ac:dyDescent="0.2">
      <c r="A374" s="881"/>
      <c r="B374" s="881"/>
      <c r="C374" s="881"/>
      <c r="D374" s="881"/>
      <c r="E374" s="881"/>
      <c r="R374" s="882"/>
      <c r="S374" s="882"/>
      <c r="T374" s="882"/>
      <c r="U374" s="882"/>
      <c r="V374" s="882"/>
      <c r="W374" s="882"/>
      <c r="X374" s="882"/>
      <c r="Y374" s="882"/>
    </row>
    <row r="375" spans="1:25" x14ac:dyDescent="0.2">
      <c r="A375" s="881"/>
      <c r="B375" s="881"/>
      <c r="C375" s="881"/>
      <c r="D375" s="881"/>
      <c r="E375" s="881"/>
      <c r="R375" s="882"/>
      <c r="S375" s="882"/>
      <c r="T375" s="882"/>
      <c r="U375" s="882"/>
      <c r="V375" s="882"/>
      <c r="W375" s="882"/>
      <c r="X375" s="882"/>
      <c r="Y375" s="882"/>
    </row>
    <row r="376" spans="1:25" x14ac:dyDescent="0.2">
      <c r="A376" s="881"/>
      <c r="B376" s="881"/>
      <c r="C376" s="881"/>
      <c r="D376" s="881"/>
      <c r="E376" s="881"/>
      <c r="R376" s="882"/>
      <c r="S376" s="882"/>
      <c r="T376" s="882"/>
      <c r="U376" s="882"/>
      <c r="V376" s="882"/>
      <c r="W376" s="882"/>
      <c r="X376" s="882"/>
      <c r="Y376" s="882"/>
    </row>
    <row r="377" spans="1:25" x14ac:dyDescent="0.2">
      <c r="A377" s="881"/>
      <c r="B377" s="881"/>
      <c r="C377" s="881"/>
      <c r="D377" s="881"/>
      <c r="E377" s="881"/>
      <c r="R377" s="882"/>
      <c r="S377" s="882"/>
      <c r="T377" s="882"/>
      <c r="U377" s="882"/>
      <c r="V377" s="882"/>
      <c r="W377" s="882"/>
      <c r="X377" s="882"/>
      <c r="Y377" s="882"/>
    </row>
    <row r="378" spans="1:25" x14ac:dyDescent="0.2">
      <c r="A378" s="881"/>
      <c r="B378" s="881"/>
      <c r="C378" s="881"/>
      <c r="D378" s="881"/>
      <c r="E378" s="881"/>
      <c r="R378" s="882"/>
      <c r="S378" s="882"/>
      <c r="T378" s="882"/>
      <c r="U378" s="882"/>
      <c r="V378" s="882"/>
      <c r="W378" s="882"/>
      <c r="X378" s="882"/>
      <c r="Y378" s="882"/>
    </row>
    <row r="379" spans="1:25" x14ac:dyDescent="0.2">
      <c r="A379" s="881"/>
      <c r="B379" s="881"/>
      <c r="C379" s="881"/>
      <c r="D379" s="881"/>
      <c r="E379" s="881"/>
      <c r="R379" s="882"/>
      <c r="S379" s="882"/>
      <c r="T379" s="882"/>
      <c r="U379" s="882"/>
      <c r="V379" s="882"/>
      <c r="W379" s="882"/>
      <c r="X379" s="882"/>
      <c r="Y379" s="882"/>
    </row>
    <row r="380" spans="1:25" x14ac:dyDescent="0.2">
      <c r="A380" s="881"/>
      <c r="B380" s="881"/>
      <c r="C380" s="881"/>
      <c r="D380" s="881"/>
      <c r="E380" s="881"/>
      <c r="R380" s="882"/>
      <c r="S380" s="882"/>
      <c r="T380" s="882"/>
      <c r="U380" s="882"/>
      <c r="V380" s="882"/>
      <c r="W380" s="882"/>
      <c r="X380" s="882"/>
      <c r="Y380" s="882"/>
    </row>
    <row r="381" spans="1:25" x14ac:dyDescent="0.2">
      <c r="A381" s="881"/>
      <c r="B381" s="881"/>
      <c r="C381" s="881"/>
      <c r="D381" s="881"/>
      <c r="E381" s="881"/>
      <c r="R381" s="882"/>
      <c r="S381" s="882"/>
      <c r="T381" s="882"/>
      <c r="U381" s="882"/>
      <c r="V381" s="882"/>
      <c r="W381" s="882"/>
      <c r="X381" s="882"/>
      <c r="Y381" s="882"/>
    </row>
    <row r="382" spans="1:25" x14ac:dyDescent="0.2">
      <c r="A382" s="881"/>
      <c r="B382" s="881"/>
      <c r="C382" s="881"/>
      <c r="D382" s="881"/>
      <c r="E382" s="881"/>
      <c r="R382" s="882"/>
      <c r="S382" s="882"/>
      <c r="T382" s="882"/>
      <c r="U382" s="882"/>
      <c r="V382" s="882"/>
      <c r="W382" s="882"/>
      <c r="X382" s="882"/>
      <c r="Y382" s="882"/>
    </row>
    <row r="383" spans="1:25" x14ac:dyDescent="0.2">
      <c r="A383" s="881"/>
      <c r="B383" s="881"/>
      <c r="C383" s="881"/>
      <c r="D383" s="881"/>
      <c r="E383" s="881"/>
      <c r="R383" s="882"/>
      <c r="S383" s="882"/>
      <c r="T383" s="882"/>
      <c r="U383" s="882"/>
      <c r="V383" s="882"/>
      <c r="W383" s="882"/>
      <c r="X383" s="882"/>
      <c r="Y383" s="882"/>
    </row>
    <row r="384" spans="1:25" x14ac:dyDescent="0.2">
      <c r="A384" s="881"/>
      <c r="B384" s="881"/>
      <c r="C384" s="881"/>
      <c r="D384" s="881"/>
      <c r="E384" s="881"/>
      <c r="R384" s="882"/>
      <c r="S384" s="882"/>
      <c r="T384" s="882"/>
      <c r="U384" s="882"/>
      <c r="V384" s="882"/>
      <c r="W384" s="882"/>
      <c r="X384" s="882"/>
      <c r="Y384" s="882"/>
    </row>
    <row r="385" spans="1:25" x14ac:dyDescent="0.2">
      <c r="A385" s="881"/>
      <c r="B385" s="881"/>
      <c r="C385" s="881"/>
      <c r="D385" s="881"/>
      <c r="E385" s="881"/>
      <c r="P385" s="884"/>
      <c r="R385" s="882"/>
      <c r="S385" s="882"/>
      <c r="T385" s="882"/>
      <c r="U385" s="882"/>
      <c r="V385" s="882"/>
      <c r="W385" s="882"/>
      <c r="X385" s="882"/>
      <c r="Y385" s="882"/>
    </row>
    <row r="386" spans="1:25" x14ac:dyDescent="0.2">
      <c r="A386" s="881"/>
      <c r="B386" s="881"/>
      <c r="C386" s="881"/>
      <c r="D386" s="881"/>
      <c r="E386" s="881"/>
      <c r="R386" s="882"/>
      <c r="S386" s="882"/>
      <c r="T386" s="882"/>
      <c r="U386" s="882"/>
      <c r="V386" s="882"/>
      <c r="W386" s="882"/>
      <c r="X386" s="882"/>
      <c r="Y386" s="882"/>
    </row>
    <row r="387" spans="1:25" x14ac:dyDescent="0.2">
      <c r="A387" s="881"/>
      <c r="B387" s="881"/>
      <c r="C387" s="881"/>
      <c r="D387" s="881"/>
      <c r="E387" s="881"/>
      <c r="R387" s="882"/>
      <c r="S387" s="882"/>
      <c r="T387" s="882"/>
      <c r="U387" s="882"/>
      <c r="V387" s="882"/>
      <c r="W387" s="882"/>
      <c r="X387" s="882"/>
      <c r="Y387" s="882"/>
    </row>
    <row r="388" spans="1:25" x14ac:dyDescent="0.2">
      <c r="A388" s="881"/>
      <c r="B388" s="881"/>
      <c r="C388" s="881"/>
      <c r="D388" s="881"/>
      <c r="E388" s="881"/>
      <c r="R388" s="882"/>
      <c r="S388" s="882"/>
      <c r="T388" s="882"/>
      <c r="U388" s="882"/>
      <c r="V388" s="882"/>
      <c r="W388" s="882"/>
      <c r="X388" s="882"/>
      <c r="Y388" s="882"/>
    </row>
    <row r="389" spans="1:25" x14ac:dyDescent="0.2">
      <c r="A389" s="881"/>
      <c r="B389" s="881"/>
      <c r="C389" s="881"/>
      <c r="D389" s="881"/>
      <c r="E389" s="881"/>
      <c r="P389" s="884"/>
      <c r="R389" s="882"/>
      <c r="S389" s="882"/>
      <c r="T389" s="882"/>
      <c r="U389" s="882"/>
      <c r="V389" s="882"/>
      <c r="W389" s="882"/>
      <c r="X389" s="882"/>
      <c r="Y389" s="882"/>
    </row>
    <row r="390" spans="1:25" x14ac:dyDescent="0.2">
      <c r="A390" s="881"/>
      <c r="B390" s="881"/>
      <c r="C390" s="881"/>
      <c r="D390" s="881"/>
      <c r="E390" s="881"/>
      <c r="R390" s="882"/>
      <c r="S390" s="882"/>
      <c r="T390" s="882"/>
      <c r="U390" s="882"/>
      <c r="V390" s="882"/>
      <c r="W390" s="882"/>
      <c r="X390" s="882"/>
      <c r="Y390" s="882"/>
    </row>
    <row r="391" spans="1:25" x14ac:dyDescent="0.2">
      <c r="A391" s="881"/>
      <c r="B391" s="881"/>
      <c r="C391" s="881"/>
      <c r="D391" s="881"/>
      <c r="E391" s="881"/>
      <c r="R391" s="882"/>
      <c r="S391" s="882"/>
      <c r="T391" s="882"/>
      <c r="U391" s="882"/>
      <c r="V391" s="882"/>
      <c r="W391" s="882"/>
      <c r="X391" s="882"/>
      <c r="Y391" s="882"/>
    </row>
    <row r="392" spans="1:25" x14ac:dyDescent="0.2">
      <c r="A392" s="881"/>
      <c r="B392" s="881"/>
      <c r="C392" s="881"/>
      <c r="D392" s="881"/>
      <c r="E392" s="881"/>
      <c r="R392" s="882"/>
      <c r="S392" s="882"/>
      <c r="T392" s="882"/>
      <c r="U392" s="882"/>
      <c r="V392" s="882"/>
      <c r="W392" s="882"/>
      <c r="X392" s="882"/>
      <c r="Y392" s="882"/>
    </row>
    <row r="393" spans="1:25" x14ac:dyDescent="0.2">
      <c r="A393" s="881"/>
      <c r="B393" s="881"/>
      <c r="C393" s="881"/>
      <c r="D393" s="881"/>
      <c r="E393" s="881"/>
      <c r="R393" s="882"/>
      <c r="S393" s="882"/>
      <c r="T393" s="882"/>
      <c r="U393" s="882"/>
      <c r="V393" s="882"/>
      <c r="W393" s="882"/>
      <c r="X393" s="882"/>
      <c r="Y393" s="882"/>
    </row>
    <row r="394" spans="1:25" x14ac:dyDescent="0.2">
      <c r="A394" s="881"/>
      <c r="B394" s="881"/>
      <c r="C394" s="881"/>
      <c r="D394" s="881"/>
      <c r="E394" s="881"/>
      <c r="R394" s="882"/>
      <c r="S394" s="882"/>
      <c r="T394" s="882"/>
      <c r="U394" s="882"/>
      <c r="V394" s="882"/>
      <c r="W394" s="882"/>
      <c r="X394" s="882"/>
      <c r="Y394" s="882"/>
    </row>
    <row r="395" spans="1:25" x14ac:dyDescent="0.2">
      <c r="A395" s="881"/>
      <c r="B395" s="881"/>
      <c r="C395" s="881"/>
      <c r="D395" s="881"/>
      <c r="E395" s="881"/>
      <c r="R395" s="882"/>
      <c r="S395" s="882"/>
      <c r="T395" s="882"/>
      <c r="U395" s="882"/>
      <c r="V395" s="882"/>
      <c r="W395" s="882"/>
      <c r="X395" s="882"/>
      <c r="Y395" s="882"/>
    </row>
    <row r="396" spans="1:25" x14ac:dyDescent="0.2">
      <c r="A396" s="881"/>
      <c r="B396" s="881"/>
      <c r="C396" s="881"/>
      <c r="D396" s="881"/>
      <c r="E396" s="881"/>
      <c r="R396" s="882"/>
      <c r="S396" s="882"/>
      <c r="T396" s="882"/>
      <c r="U396" s="882"/>
      <c r="V396" s="882"/>
      <c r="W396" s="882"/>
      <c r="X396" s="882"/>
      <c r="Y396" s="882"/>
    </row>
    <row r="397" spans="1:25" x14ac:dyDescent="0.2">
      <c r="A397" s="881"/>
      <c r="B397" s="881"/>
      <c r="C397" s="881"/>
      <c r="D397" s="881"/>
      <c r="E397" s="881"/>
      <c r="R397" s="882"/>
      <c r="S397" s="882"/>
      <c r="T397" s="882"/>
      <c r="U397" s="882"/>
      <c r="V397" s="882"/>
      <c r="W397" s="882"/>
      <c r="X397" s="882"/>
      <c r="Y397" s="882"/>
    </row>
    <row r="398" spans="1:25" x14ac:dyDescent="0.2">
      <c r="A398" s="881"/>
      <c r="B398" s="881"/>
      <c r="C398" s="881"/>
      <c r="D398" s="881"/>
      <c r="E398" s="881"/>
      <c r="R398" s="882"/>
      <c r="S398" s="882"/>
      <c r="T398" s="882"/>
      <c r="U398" s="882"/>
      <c r="V398" s="882"/>
      <c r="W398" s="882"/>
      <c r="X398" s="882"/>
      <c r="Y398" s="882"/>
    </row>
    <row r="399" spans="1:25" x14ac:dyDescent="0.2">
      <c r="A399" s="881"/>
      <c r="B399" s="881"/>
      <c r="C399" s="881"/>
      <c r="D399" s="881"/>
      <c r="E399" s="881"/>
      <c r="R399" s="882"/>
      <c r="S399" s="882"/>
      <c r="T399" s="882"/>
      <c r="U399" s="882"/>
      <c r="V399" s="882"/>
      <c r="W399" s="882"/>
      <c r="X399" s="882"/>
      <c r="Y399" s="882"/>
    </row>
    <row r="400" spans="1:25" x14ac:dyDescent="0.2">
      <c r="A400" s="881"/>
      <c r="B400" s="881"/>
      <c r="C400" s="881"/>
      <c r="D400" s="881"/>
      <c r="E400" s="881"/>
      <c r="R400" s="882"/>
      <c r="S400" s="882"/>
      <c r="T400" s="882"/>
      <c r="U400" s="882"/>
      <c r="V400" s="882"/>
      <c r="W400" s="882"/>
      <c r="X400" s="882"/>
      <c r="Y400" s="882"/>
    </row>
    <row r="401" spans="1:25" x14ac:dyDescent="0.2">
      <c r="A401" s="881"/>
      <c r="B401" s="881"/>
      <c r="C401" s="881"/>
      <c r="D401" s="881"/>
      <c r="E401" s="881"/>
      <c r="R401" s="882"/>
      <c r="S401" s="882"/>
      <c r="T401" s="882"/>
      <c r="U401" s="882"/>
      <c r="V401" s="882"/>
      <c r="W401" s="882"/>
      <c r="X401" s="882"/>
      <c r="Y401" s="882"/>
    </row>
    <row r="402" spans="1:25" x14ac:dyDescent="0.2">
      <c r="A402" s="881"/>
      <c r="B402" s="881"/>
      <c r="C402" s="881"/>
      <c r="D402" s="881"/>
      <c r="E402" s="881"/>
      <c r="R402" s="882"/>
      <c r="S402" s="882"/>
      <c r="T402" s="882"/>
      <c r="U402" s="882"/>
      <c r="V402" s="882"/>
      <c r="W402" s="882"/>
      <c r="X402" s="882"/>
      <c r="Y402" s="882"/>
    </row>
    <row r="403" spans="1:25" x14ac:dyDescent="0.2">
      <c r="A403" s="881"/>
      <c r="B403" s="881"/>
      <c r="C403" s="881"/>
      <c r="D403" s="881"/>
      <c r="E403" s="881"/>
      <c r="R403" s="882"/>
      <c r="S403" s="882"/>
      <c r="T403" s="882"/>
      <c r="U403" s="882"/>
      <c r="V403" s="882"/>
      <c r="W403" s="882"/>
      <c r="X403" s="882"/>
      <c r="Y403" s="882"/>
    </row>
    <row r="404" spans="1:25" x14ac:dyDescent="0.2">
      <c r="A404" s="881"/>
      <c r="B404" s="881"/>
      <c r="C404" s="881"/>
      <c r="D404" s="881"/>
      <c r="E404" s="881"/>
      <c r="R404" s="882"/>
      <c r="S404" s="882"/>
      <c r="T404" s="882"/>
      <c r="U404" s="882"/>
      <c r="V404" s="882"/>
      <c r="W404" s="882"/>
      <c r="X404" s="882"/>
      <c r="Y404" s="882"/>
    </row>
    <row r="405" spans="1:25" x14ac:dyDescent="0.2">
      <c r="A405" s="881"/>
      <c r="B405" s="881"/>
      <c r="C405" s="881"/>
      <c r="D405" s="881"/>
      <c r="E405" s="881"/>
      <c r="R405" s="882"/>
      <c r="S405" s="882"/>
      <c r="T405" s="882"/>
      <c r="U405" s="882"/>
      <c r="V405" s="882"/>
      <c r="W405" s="882"/>
      <c r="X405" s="882"/>
      <c r="Y405" s="882"/>
    </row>
    <row r="406" spans="1:25" x14ac:dyDescent="0.2">
      <c r="A406" s="881"/>
      <c r="B406" s="881"/>
      <c r="C406" s="881"/>
      <c r="D406" s="881"/>
      <c r="E406" s="881"/>
      <c r="R406" s="882"/>
      <c r="S406" s="882"/>
      <c r="T406" s="882"/>
      <c r="U406" s="882"/>
      <c r="V406" s="882"/>
      <c r="W406" s="882"/>
      <c r="X406" s="882"/>
      <c r="Y406" s="882"/>
    </row>
    <row r="407" spans="1:25" x14ac:dyDescent="0.2">
      <c r="A407" s="881"/>
      <c r="B407" s="881"/>
      <c r="C407" s="881"/>
      <c r="D407" s="881"/>
      <c r="E407" s="881"/>
      <c r="R407" s="882"/>
      <c r="S407" s="882"/>
      <c r="T407" s="882"/>
      <c r="U407" s="882"/>
      <c r="V407" s="882"/>
      <c r="W407" s="882"/>
      <c r="X407" s="882"/>
      <c r="Y407" s="882"/>
    </row>
    <row r="408" spans="1:25" x14ac:dyDescent="0.2">
      <c r="A408" s="881"/>
      <c r="B408" s="881"/>
      <c r="C408" s="881"/>
      <c r="D408" s="881"/>
      <c r="E408" s="881"/>
      <c r="R408" s="882"/>
      <c r="S408" s="882"/>
      <c r="T408" s="882"/>
      <c r="U408" s="882"/>
      <c r="V408" s="882"/>
      <c r="W408" s="882"/>
      <c r="X408" s="882"/>
      <c r="Y408" s="882"/>
    </row>
    <row r="409" spans="1:25" x14ac:dyDescent="0.2">
      <c r="A409" s="881"/>
      <c r="B409" s="881"/>
      <c r="C409" s="881"/>
      <c r="D409" s="881"/>
      <c r="E409" s="881"/>
      <c r="R409" s="882"/>
      <c r="S409" s="882"/>
      <c r="T409" s="882"/>
      <c r="U409" s="882"/>
      <c r="V409" s="882"/>
      <c r="W409" s="882"/>
      <c r="X409" s="882"/>
      <c r="Y409" s="882"/>
    </row>
    <row r="410" spans="1:25" x14ac:dyDescent="0.2">
      <c r="A410" s="881"/>
      <c r="B410" s="881"/>
      <c r="C410" s="881"/>
      <c r="D410" s="881"/>
      <c r="E410" s="881"/>
      <c r="R410" s="882"/>
      <c r="S410" s="882"/>
      <c r="T410" s="882"/>
      <c r="U410" s="882"/>
      <c r="V410" s="882"/>
      <c r="W410" s="882"/>
      <c r="X410" s="882"/>
      <c r="Y410" s="882"/>
    </row>
    <row r="411" spans="1:25" x14ac:dyDescent="0.2">
      <c r="A411" s="881"/>
      <c r="B411" s="881"/>
      <c r="C411" s="881"/>
      <c r="D411" s="881"/>
      <c r="E411" s="881"/>
      <c r="R411" s="882"/>
      <c r="S411" s="882"/>
      <c r="T411" s="882"/>
      <c r="U411" s="882"/>
      <c r="V411" s="882"/>
      <c r="W411" s="882"/>
      <c r="X411" s="882"/>
      <c r="Y411" s="882"/>
    </row>
    <row r="412" spans="1:25" x14ac:dyDescent="0.2">
      <c r="A412" s="881"/>
      <c r="B412" s="881"/>
      <c r="C412" s="881"/>
      <c r="D412" s="881"/>
      <c r="E412" s="881"/>
      <c r="R412" s="882"/>
      <c r="S412" s="882"/>
      <c r="T412" s="882"/>
      <c r="U412" s="882"/>
      <c r="V412" s="882"/>
      <c r="W412" s="882"/>
      <c r="X412" s="882"/>
      <c r="Y412" s="882"/>
    </row>
    <row r="413" spans="1:25" x14ac:dyDescent="0.2">
      <c r="A413" s="881"/>
      <c r="B413" s="881"/>
      <c r="C413" s="881"/>
      <c r="D413" s="881"/>
      <c r="E413" s="881"/>
      <c r="R413" s="882"/>
      <c r="S413" s="882"/>
      <c r="T413" s="882"/>
      <c r="U413" s="882"/>
      <c r="V413" s="882"/>
      <c r="W413" s="882"/>
      <c r="X413" s="882"/>
      <c r="Y413" s="882"/>
    </row>
    <row r="414" spans="1:25" x14ac:dyDescent="0.2">
      <c r="A414" s="881"/>
      <c r="B414" s="881"/>
      <c r="C414" s="881"/>
      <c r="D414" s="881"/>
      <c r="E414" s="881"/>
      <c r="R414" s="882"/>
      <c r="S414" s="882"/>
      <c r="T414" s="882"/>
      <c r="U414" s="882"/>
      <c r="V414" s="882"/>
      <c r="W414" s="882"/>
      <c r="X414" s="882"/>
      <c r="Y414" s="882"/>
    </row>
    <row r="415" spans="1:25" x14ac:dyDescent="0.2">
      <c r="A415" s="881"/>
      <c r="B415" s="881"/>
      <c r="C415" s="881"/>
      <c r="D415" s="881"/>
      <c r="E415" s="881"/>
      <c r="R415" s="882"/>
      <c r="S415" s="882"/>
      <c r="T415" s="882"/>
      <c r="U415" s="882"/>
      <c r="V415" s="882"/>
      <c r="W415" s="882"/>
      <c r="X415" s="882"/>
      <c r="Y415" s="882"/>
    </row>
    <row r="416" spans="1:25" x14ac:dyDescent="0.2">
      <c r="A416" s="881"/>
      <c r="B416" s="881"/>
      <c r="C416" s="881"/>
      <c r="D416" s="881"/>
      <c r="E416" s="881"/>
      <c r="R416" s="882"/>
      <c r="S416" s="882"/>
      <c r="T416" s="882"/>
      <c r="U416" s="882"/>
      <c r="V416" s="882"/>
      <c r="W416" s="882"/>
      <c r="X416" s="882"/>
      <c r="Y416" s="882"/>
    </row>
    <row r="417" spans="1:25" x14ac:dyDescent="0.2">
      <c r="A417" s="881"/>
      <c r="B417" s="881"/>
      <c r="C417" s="881"/>
      <c r="D417" s="881"/>
      <c r="E417" s="881"/>
      <c r="R417" s="882"/>
      <c r="S417" s="882"/>
      <c r="T417" s="882"/>
      <c r="U417" s="882"/>
      <c r="V417" s="882"/>
      <c r="W417" s="882"/>
      <c r="X417" s="882"/>
      <c r="Y417" s="882"/>
    </row>
    <row r="418" spans="1:25" x14ac:dyDescent="0.2">
      <c r="A418" s="881"/>
      <c r="B418" s="881"/>
      <c r="C418" s="881"/>
      <c r="D418" s="881"/>
      <c r="E418" s="881"/>
      <c r="R418" s="882"/>
      <c r="S418" s="882"/>
      <c r="T418" s="882"/>
      <c r="U418" s="882"/>
      <c r="V418" s="882"/>
      <c r="W418" s="882"/>
      <c r="X418" s="882"/>
      <c r="Y418" s="882"/>
    </row>
    <row r="419" spans="1:25" x14ac:dyDescent="0.2">
      <c r="A419" s="881"/>
      <c r="B419" s="881"/>
      <c r="C419" s="881"/>
      <c r="D419" s="881"/>
      <c r="E419" s="881"/>
      <c r="R419" s="882"/>
      <c r="S419" s="882"/>
      <c r="T419" s="882"/>
      <c r="U419" s="882"/>
      <c r="V419" s="882"/>
      <c r="W419" s="882"/>
      <c r="X419" s="882"/>
      <c r="Y419" s="882"/>
    </row>
    <row r="420" spans="1:25" x14ac:dyDescent="0.2">
      <c r="A420" s="881"/>
      <c r="B420" s="881"/>
      <c r="C420" s="881"/>
      <c r="D420" s="881"/>
      <c r="E420" s="881"/>
      <c r="R420" s="882"/>
      <c r="S420" s="882"/>
      <c r="T420" s="882"/>
      <c r="U420" s="882"/>
      <c r="V420" s="882"/>
      <c r="W420" s="882"/>
      <c r="X420" s="882"/>
      <c r="Y420" s="882"/>
    </row>
    <row r="421" spans="1:25" x14ac:dyDescent="0.2">
      <c r="A421" s="881"/>
      <c r="B421" s="881"/>
      <c r="C421" s="881"/>
      <c r="D421" s="881"/>
      <c r="E421" s="881"/>
      <c r="R421" s="882"/>
      <c r="S421" s="882"/>
      <c r="T421" s="882"/>
      <c r="U421" s="882"/>
      <c r="V421" s="882"/>
      <c r="W421" s="882"/>
      <c r="X421" s="882"/>
      <c r="Y421" s="882"/>
    </row>
    <row r="422" spans="1:25" x14ac:dyDescent="0.2">
      <c r="A422" s="881"/>
      <c r="B422" s="881"/>
      <c r="C422" s="881"/>
      <c r="D422" s="881"/>
      <c r="E422" s="881"/>
      <c r="R422" s="882"/>
      <c r="S422" s="882"/>
      <c r="T422" s="882"/>
      <c r="U422" s="882"/>
      <c r="V422" s="882"/>
      <c r="W422" s="882"/>
      <c r="X422" s="882"/>
      <c r="Y422" s="882"/>
    </row>
    <row r="423" spans="1:25" x14ac:dyDescent="0.2">
      <c r="A423" s="881"/>
      <c r="B423" s="881"/>
      <c r="C423" s="881"/>
      <c r="D423" s="881"/>
      <c r="E423" s="881"/>
      <c r="R423" s="882"/>
      <c r="S423" s="882"/>
      <c r="T423" s="882"/>
      <c r="U423" s="882"/>
      <c r="V423" s="882"/>
      <c r="W423" s="882"/>
      <c r="X423" s="882"/>
      <c r="Y423" s="882"/>
    </row>
    <row r="424" spans="1:25" x14ac:dyDescent="0.2">
      <c r="A424" s="881"/>
      <c r="B424" s="881"/>
      <c r="C424" s="881"/>
      <c r="D424" s="881"/>
      <c r="E424" s="881"/>
      <c r="R424" s="882"/>
      <c r="S424" s="882"/>
      <c r="T424" s="882"/>
      <c r="U424" s="882"/>
      <c r="V424" s="882"/>
      <c r="W424" s="882"/>
      <c r="X424" s="882"/>
      <c r="Y424" s="882"/>
    </row>
    <row r="425" spans="1:25" x14ac:dyDescent="0.2">
      <c r="A425" s="881"/>
      <c r="B425" s="881"/>
      <c r="C425" s="881"/>
      <c r="D425" s="881"/>
      <c r="E425" s="881"/>
      <c r="R425" s="882"/>
      <c r="S425" s="882"/>
      <c r="T425" s="882"/>
      <c r="U425" s="882"/>
      <c r="V425" s="882"/>
      <c r="W425" s="882"/>
      <c r="X425" s="882"/>
      <c r="Y425" s="882"/>
    </row>
    <row r="426" spans="1:25" x14ac:dyDescent="0.2">
      <c r="A426" s="881"/>
      <c r="B426" s="881"/>
      <c r="C426" s="881"/>
      <c r="D426" s="881"/>
      <c r="E426" s="881"/>
      <c r="R426" s="882"/>
      <c r="S426" s="882"/>
      <c r="T426" s="882"/>
      <c r="U426" s="882"/>
      <c r="V426" s="882"/>
      <c r="W426" s="882"/>
      <c r="X426" s="882"/>
      <c r="Y426" s="882"/>
    </row>
    <row r="427" spans="1:25" x14ac:dyDescent="0.2">
      <c r="A427" s="881"/>
      <c r="B427" s="881"/>
      <c r="C427" s="881"/>
      <c r="D427" s="881"/>
      <c r="E427" s="881"/>
      <c r="R427" s="882"/>
      <c r="S427" s="882"/>
      <c r="T427" s="882"/>
      <c r="U427" s="882"/>
      <c r="V427" s="882"/>
      <c r="W427" s="882"/>
      <c r="X427" s="882"/>
      <c r="Y427" s="882"/>
    </row>
    <row r="428" spans="1:25" x14ac:dyDescent="0.2">
      <c r="A428" s="881"/>
      <c r="B428" s="881"/>
      <c r="C428" s="881"/>
      <c r="D428" s="881"/>
      <c r="E428" s="881"/>
      <c r="R428" s="882"/>
      <c r="S428" s="882"/>
      <c r="T428" s="882"/>
      <c r="U428" s="882"/>
      <c r="V428" s="882"/>
      <c r="W428" s="882"/>
      <c r="X428" s="882"/>
      <c r="Y428" s="882"/>
    </row>
    <row r="429" spans="1:25" x14ac:dyDescent="0.2">
      <c r="A429" s="881"/>
      <c r="B429" s="881"/>
      <c r="C429" s="881"/>
      <c r="D429" s="881"/>
      <c r="E429" s="881"/>
      <c r="R429" s="882"/>
      <c r="S429" s="882"/>
      <c r="T429" s="882"/>
      <c r="U429" s="882"/>
      <c r="V429" s="882"/>
      <c r="W429" s="882"/>
      <c r="X429" s="882"/>
      <c r="Y429" s="882"/>
    </row>
    <row r="430" spans="1:25" x14ac:dyDescent="0.2">
      <c r="A430" s="881"/>
      <c r="B430" s="881"/>
      <c r="C430" s="881"/>
      <c r="D430" s="881"/>
      <c r="E430" s="881"/>
      <c r="R430" s="882"/>
      <c r="S430" s="882"/>
      <c r="T430" s="882"/>
      <c r="U430" s="882"/>
      <c r="V430" s="882"/>
      <c r="W430" s="882"/>
      <c r="X430" s="882"/>
      <c r="Y430" s="882"/>
    </row>
    <row r="431" spans="1:25" x14ac:dyDescent="0.2">
      <c r="A431" s="881"/>
      <c r="B431" s="881"/>
      <c r="C431" s="881"/>
      <c r="D431" s="881"/>
      <c r="E431" s="881"/>
      <c r="R431" s="882"/>
      <c r="S431" s="882"/>
      <c r="T431" s="882"/>
      <c r="U431" s="882"/>
      <c r="V431" s="882"/>
      <c r="W431" s="882"/>
      <c r="X431" s="882"/>
      <c r="Y431" s="882"/>
    </row>
    <row r="432" spans="1:25" x14ac:dyDescent="0.2">
      <c r="A432" s="881"/>
      <c r="B432" s="881"/>
      <c r="C432" s="881"/>
      <c r="D432" s="881"/>
      <c r="E432" s="881"/>
      <c r="R432" s="882"/>
      <c r="S432" s="882"/>
      <c r="T432" s="882"/>
      <c r="U432" s="882"/>
      <c r="V432" s="882"/>
      <c r="W432" s="882"/>
      <c r="X432" s="882"/>
      <c r="Y432" s="882"/>
    </row>
    <row r="433" spans="1:25" x14ac:dyDescent="0.2">
      <c r="A433" s="881"/>
      <c r="B433" s="881"/>
      <c r="C433" s="881"/>
      <c r="D433" s="881"/>
      <c r="E433" s="881"/>
      <c r="R433" s="882"/>
      <c r="S433" s="882"/>
      <c r="T433" s="882"/>
      <c r="U433" s="882"/>
      <c r="V433" s="882"/>
      <c r="W433" s="882"/>
      <c r="X433" s="882"/>
      <c r="Y433" s="882"/>
    </row>
    <row r="434" spans="1:25" x14ac:dyDescent="0.2">
      <c r="A434" s="881"/>
      <c r="B434" s="881"/>
      <c r="C434" s="881"/>
      <c r="D434" s="881"/>
      <c r="E434" s="881"/>
      <c r="R434" s="882"/>
      <c r="S434" s="882"/>
      <c r="T434" s="882"/>
      <c r="U434" s="882"/>
      <c r="V434" s="882"/>
      <c r="W434" s="882"/>
      <c r="X434" s="882"/>
      <c r="Y434" s="882"/>
    </row>
    <row r="435" spans="1:25" x14ac:dyDescent="0.2">
      <c r="A435" s="881"/>
      <c r="B435" s="881"/>
      <c r="C435" s="881"/>
      <c r="D435" s="881"/>
      <c r="E435" s="881"/>
      <c r="R435" s="882"/>
      <c r="S435" s="882"/>
      <c r="T435" s="882"/>
      <c r="U435" s="882"/>
      <c r="V435" s="882"/>
      <c r="W435" s="882"/>
      <c r="X435" s="882"/>
      <c r="Y435" s="882"/>
    </row>
    <row r="436" spans="1:25" x14ac:dyDescent="0.2">
      <c r="A436" s="881"/>
      <c r="B436" s="881"/>
      <c r="C436" s="881"/>
      <c r="D436" s="881"/>
      <c r="E436" s="881"/>
      <c r="R436" s="882"/>
      <c r="S436" s="882"/>
      <c r="T436" s="882"/>
      <c r="U436" s="882"/>
      <c r="V436" s="882"/>
      <c r="W436" s="882"/>
      <c r="X436" s="882"/>
      <c r="Y436" s="882"/>
    </row>
    <row r="437" spans="1:25" x14ac:dyDescent="0.2">
      <c r="A437" s="881"/>
      <c r="B437" s="881"/>
      <c r="C437" s="881"/>
      <c r="D437" s="881"/>
      <c r="E437" s="881"/>
      <c r="R437" s="882"/>
      <c r="S437" s="882"/>
      <c r="T437" s="882"/>
      <c r="U437" s="882"/>
      <c r="V437" s="882"/>
      <c r="W437" s="882"/>
      <c r="X437" s="882"/>
      <c r="Y437" s="882"/>
    </row>
    <row r="438" spans="1:25" x14ac:dyDescent="0.2">
      <c r="A438" s="881"/>
      <c r="B438" s="881"/>
      <c r="C438" s="881"/>
      <c r="D438" s="881"/>
      <c r="E438" s="881"/>
      <c r="R438" s="882"/>
      <c r="S438" s="882"/>
      <c r="T438" s="882"/>
      <c r="U438" s="882"/>
      <c r="V438" s="882"/>
      <c r="W438" s="882"/>
      <c r="X438" s="882"/>
      <c r="Y438" s="882"/>
    </row>
    <row r="439" spans="1:25" x14ac:dyDescent="0.2">
      <c r="A439" s="881"/>
      <c r="B439" s="881"/>
      <c r="C439" s="881"/>
      <c r="D439" s="881"/>
      <c r="E439" s="881"/>
      <c r="R439" s="882"/>
      <c r="S439" s="882"/>
      <c r="T439" s="882"/>
      <c r="U439" s="882"/>
      <c r="V439" s="882"/>
      <c r="W439" s="882"/>
      <c r="X439" s="882"/>
      <c r="Y439" s="882"/>
    </row>
    <row r="440" spans="1:25" x14ac:dyDescent="0.2">
      <c r="A440" s="881"/>
      <c r="B440" s="881"/>
      <c r="C440" s="881"/>
      <c r="D440" s="881"/>
      <c r="E440" s="881"/>
      <c r="R440" s="882"/>
      <c r="S440" s="882"/>
      <c r="T440" s="882"/>
      <c r="U440" s="882"/>
      <c r="V440" s="882"/>
      <c r="W440" s="882"/>
      <c r="X440" s="882"/>
      <c r="Y440" s="882"/>
    </row>
    <row r="441" spans="1:25" x14ac:dyDescent="0.2">
      <c r="A441" s="881"/>
      <c r="B441" s="881"/>
      <c r="C441" s="881"/>
      <c r="D441" s="881"/>
      <c r="E441" s="881"/>
      <c r="R441" s="882"/>
      <c r="S441" s="882"/>
      <c r="T441" s="882"/>
      <c r="U441" s="882"/>
      <c r="V441" s="882"/>
      <c r="W441" s="882"/>
      <c r="X441" s="882"/>
      <c r="Y441" s="882"/>
    </row>
    <row r="442" spans="1:25" x14ac:dyDescent="0.2">
      <c r="A442" s="881"/>
      <c r="B442" s="881"/>
      <c r="C442" s="881"/>
      <c r="D442" s="881"/>
      <c r="E442" s="881"/>
      <c r="R442" s="882"/>
      <c r="S442" s="882"/>
      <c r="T442" s="882"/>
      <c r="U442" s="882"/>
      <c r="V442" s="882"/>
      <c r="W442" s="882"/>
      <c r="X442" s="882"/>
      <c r="Y442" s="882"/>
    </row>
    <row r="443" spans="1:25" x14ac:dyDescent="0.2">
      <c r="A443" s="881"/>
      <c r="B443" s="881"/>
      <c r="C443" s="881"/>
      <c r="D443" s="881"/>
      <c r="E443" s="881"/>
      <c r="R443" s="882"/>
      <c r="S443" s="882"/>
      <c r="T443" s="882"/>
      <c r="U443" s="882"/>
      <c r="V443" s="882"/>
      <c r="W443" s="882"/>
      <c r="X443" s="882"/>
      <c r="Y443" s="882"/>
    </row>
    <row r="444" spans="1:25" x14ac:dyDescent="0.2">
      <c r="A444" s="881"/>
      <c r="B444" s="881"/>
      <c r="C444" s="881"/>
      <c r="D444" s="881"/>
      <c r="E444" s="881"/>
      <c r="R444" s="882"/>
      <c r="S444" s="882"/>
      <c r="T444" s="882"/>
      <c r="U444" s="882"/>
      <c r="V444" s="882"/>
      <c r="W444" s="882"/>
      <c r="X444" s="882"/>
      <c r="Y444" s="882"/>
    </row>
    <row r="445" spans="1:25" x14ac:dyDescent="0.2">
      <c r="A445" s="881"/>
      <c r="B445" s="881"/>
      <c r="C445" s="881"/>
      <c r="D445" s="881"/>
      <c r="E445" s="881"/>
      <c r="R445" s="882"/>
      <c r="S445" s="882"/>
      <c r="T445" s="882"/>
      <c r="U445" s="882"/>
      <c r="V445" s="882"/>
      <c r="W445" s="882"/>
      <c r="X445" s="882"/>
      <c r="Y445" s="882"/>
    </row>
    <row r="446" spans="1:25" x14ac:dyDescent="0.2">
      <c r="A446" s="881"/>
      <c r="B446" s="881"/>
      <c r="C446" s="881"/>
      <c r="D446" s="881"/>
      <c r="E446" s="881"/>
      <c r="R446" s="882"/>
      <c r="S446" s="882"/>
      <c r="T446" s="882"/>
      <c r="U446" s="882"/>
      <c r="V446" s="882"/>
      <c r="W446" s="882"/>
      <c r="X446" s="882"/>
      <c r="Y446" s="882"/>
    </row>
    <row r="447" spans="1:25" x14ac:dyDescent="0.2">
      <c r="A447" s="881"/>
      <c r="B447" s="881"/>
      <c r="C447" s="881"/>
      <c r="D447" s="881"/>
      <c r="E447" s="881"/>
      <c r="R447" s="882"/>
      <c r="S447" s="882"/>
      <c r="T447" s="882"/>
      <c r="U447" s="882"/>
      <c r="V447" s="882"/>
      <c r="W447" s="882"/>
      <c r="X447" s="882"/>
      <c r="Y447" s="882"/>
    </row>
    <row r="448" spans="1:25" x14ac:dyDescent="0.2">
      <c r="A448" s="881"/>
      <c r="B448" s="881"/>
      <c r="C448" s="881"/>
      <c r="D448" s="881"/>
      <c r="E448" s="881"/>
      <c r="R448" s="882"/>
      <c r="S448" s="882"/>
      <c r="T448" s="882"/>
      <c r="U448" s="882"/>
      <c r="V448" s="882"/>
      <c r="W448" s="882"/>
      <c r="X448" s="882"/>
      <c r="Y448" s="882"/>
    </row>
    <row r="449" spans="1:25" x14ac:dyDescent="0.2">
      <c r="A449" s="881"/>
      <c r="B449" s="881"/>
      <c r="C449" s="881"/>
      <c r="D449" s="881"/>
      <c r="E449" s="881"/>
      <c r="R449" s="882"/>
      <c r="S449" s="882"/>
      <c r="T449" s="882"/>
      <c r="U449" s="882"/>
      <c r="V449" s="882"/>
      <c r="W449" s="882"/>
      <c r="X449" s="882"/>
      <c r="Y449" s="882"/>
    </row>
    <row r="450" spans="1:25" x14ac:dyDescent="0.2">
      <c r="A450" s="881"/>
      <c r="B450" s="881"/>
      <c r="C450" s="881"/>
      <c r="D450" s="881"/>
      <c r="E450" s="881"/>
      <c r="R450" s="882"/>
      <c r="S450" s="882"/>
      <c r="T450" s="882"/>
      <c r="U450" s="882"/>
      <c r="V450" s="882"/>
      <c r="W450" s="882"/>
      <c r="X450" s="882"/>
      <c r="Y450" s="882"/>
    </row>
    <row r="451" spans="1:25" x14ac:dyDescent="0.2">
      <c r="A451" s="881"/>
      <c r="B451" s="881"/>
      <c r="C451" s="881"/>
      <c r="D451" s="881"/>
      <c r="E451" s="881"/>
      <c r="R451" s="882"/>
      <c r="S451" s="882"/>
      <c r="T451" s="882"/>
      <c r="U451" s="882"/>
      <c r="V451" s="882"/>
      <c r="W451" s="882"/>
      <c r="X451" s="882"/>
      <c r="Y451" s="882"/>
    </row>
    <row r="452" spans="1:25" x14ac:dyDescent="0.2">
      <c r="A452" s="881"/>
      <c r="B452" s="881"/>
      <c r="C452" s="881"/>
      <c r="D452" s="881"/>
      <c r="E452" s="881"/>
      <c r="R452" s="882"/>
      <c r="S452" s="882"/>
      <c r="T452" s="882"/>
      <c r="U452" s="882"/>
      <c r="V452" s="882"/>
      <c r="W452" s="882"/>
      <c r="X452" s="882"/>
      <c r="Y452" s="882"/>
    </row>
    <row r="453" spans="1:25" x14ac:dyDescent="0.2">
      <c r="A453" s="881"/>
      <c r="B453" s="881"/>
      <c r="C453" s="881"/>
      <c r="D453" s="881"/>
      <c r="E453" s="881"/>
      <c r="R453" s="882"/>
      <c r="S453" s="882"/>
      <c r="T453" s="882"/>
      <c r="U453" s="882"/>
      <c r="V453" s="882"/>
      <c r="W453" s="882"/>
      <c r="X453" s="882"/>
      <c r="Y453" s="882"/>
    </row>
    <row r="454" spans="1:25" x14ac:dyDescent="0.2">
      <c r="A454" s="881"/>
      <c r="B454" s="881"/>
      <c r="C454" s="881"/>
      <c r="D454" s="881"/>
      <c r="E454" s="881"/>
      <c r="R454" s="882"/>
      <c r="S454" s="882"/>
      <c r="T454" s="882"/>
      <c r="U454" s="882"/>
      <c r="V454" s="882"/>
      <c r="W454" s="882"/>
      <c r="X454" s="882"/>
      <c r="Y454" s="882"/>
    </row>
    <row r="455" spans="1:25" x14ac:dyDescent="0.2">
      <c r="A455" s="881"/>
      <c r="B455" s="881"/>
      <c r="C455" s="881"/>
      <c r="D455" s="881"/>
      <c r="E455" s="881"/>
      <c r="R455" s="882"/>
      <c r="S455" s="882"/>
      <c r="T455" s="882"/>
      <c r="U455" s="882"/>
      <c r="V455" s="882"/>
      <c r="W455" s="882"/>
      <c r="X455" s="882"/>
      <c r="Y455" s="882"/>
    </row>
    <row r="456" spans="1:25" x14ac:dyDescent="0.2">
      <c r="A456" s="881"/>
      <c r="B456" s="881"/>
      <c r="C456" s="881"/>
      <c r="D456" s="881"/>
      <c r="E456" s="881"/>
      <c r="R456" s="882"/>
      <c r="S456" s="882"/>
      <c r="T456" s="882"/>
      <c r="U456" s="882"/>
      <c r="V456" s="882"/>
      <c r="W456" s="882"/>
      <c r="X456" s="882"/>
      <c r="Y456" s="882"/>
    </row>
    <row r="457" spans="1:25" x14ac:dyDescent="0.2">
      <c r="A457" s="881"/>
      <c r="B457" s="881"/>
      <c r="C457" s="881"/>
      <c r="D457" s="881"/>
      <c r="E457" s="881"/>
      <c r="R457" s="882"/>
      <c r="S457" s="882"/>
      <c r="T457" s="882"/>
      <c r="U457" s="882"/>
      <c r="V457" s="882"/>
      <c r="W457" s="882"/>
      <c r="X457" s="882"/>
      <c r="Y457" s="882"/>
    </row>
    <row r="458" spans="1:25" x14ac:dyDescent="0.2">
      <c r="A458" s="881"/>
      <c r="B458" s="881"/>
      <c r="C458" s="881"/>
      <c r="D458" s="881"/>
      <c r="E458" s="881"/>
      <c r="R458" s="882"/>
      <c r="S458" s="882"/>
      <c r="T458" s="882"/>
      <c r="U458" s="882"/>
      <c r="V458" s="882"/>
      <c r="W458" s="882"/>
      <c r="X458" s="882"/>
      <c r="Y458" s="882"/>
    </row>
    <row r="459" spans="1:25" x14ac:dyDescent="0.2">
      <c r="A459" s="881"/>
      <c r="B459" s="881"/>
      <c r="C459" s="881"/>
      <c r="D459" s="881"/>
      <c r="E459" s="881"/>
      <c r="R459" s="882"/>
      <c r="S459" s="882"/>
      <c r="T459" s="882"/>
      <c r="U459" s="882"/>
      <c r="V459" s="882"/>
      <c r="W459" s="882"/>
      <c r="X459" s="882"/>
      <c r="Y459" s="882"/>
    </row>
    <row r="460" spans="1:25" x14ac:dyDescent="0.2">
      <c r="A460" s="881"/>
      <c r="B460" s="881"/>
      <c r="C460" s="881"/>
      <c r="D460" s="881"/>
      <c r="E460" s="881"/>
      <c r="R460" s="882"/>
      <c r="S460" s="882"/>
      <c r="T460" s="882"/>
      <c r="U460" s="882"/>
      <c r="V460" s="882"/>
      <c r="W460" s="882"/>
      <c r="X460" s="882"/>
      <c r="Y460" s="882"/>
    </row>
    <row r="461" spans="1:25" x14ac:dyDescent="0.2">
      <c r="A461" s="881"/>
      <c r="B461" s="881"/>
      <c r="C461" s="881"/>
      <c r="D461" s="881"/>
      <c r="E461" s="881"/>
      <c r="R461" s="882"/>
      <c r="S461" s="882"/>
      <c r="T461" s="882"/>
      <c r="U461" s="882"/>
      <c r="V461" s="882"/>
      <c r="W461" s="882"/>
      <c r="X461" s="882"/>
      <c r="Y461" s="882"/>
    </row>
    <row r="462" spans="1:25" x14ac:dyDescent="0.2">
      <c r="A462" s="881"/>
      <c r="B462" s="881"/>
      <c r="C462" s="881"/>
      <c r="D462" s="881"/>
      <c r="E462" s="881"/>
      <c r="R462" s="882"/>
      <c r="S462" s="882"/>
      <c r="T462" s="882"/>
      <c r="U462" s="882"/>
      <c r="V462" s="882"/>
      <c r="W462" s="882"/>
      <c r="X462" s="882"/>
      <c r="Y462" s="882"/>
    </row>
    <row r="463" spans="1:25" x14ac:dyDescent="0.2">
      <c r="A463" s="881"/>
      <c r="B463" s="881"/>
      <c r="C463" s="881"/>
      <c r="D463" s="881"/>
      <c r="E463" s="881"/>
      <c r="R463" s="882"/>
      <c r="S463" s="882"/>
      <c r="T463" s="882"/>
      <c r="U463" s="882"/>
      <c r="V463" s="882"/>
      <c r="W463" s="882"/>
      <c r="X463" s="882"/>
      <c r="Y463" s="882"/>
    </row>
    <row r="464" spans="1:25" x14ac:dyDescent="0.2">
      <c r="A464" s="881"/>
      <c r="B464" s="881"/>
      <c r="C464" s="881"/>
      <c r="D464" s="881"/>
      <c r="E464" s="881"/>
      <c r="R464" s="882"/>
      <c r="S464" s="882"/>
      <c r="T464" s="882"/>
      <c r="U464" s="882"/>
      <c r="V464" s="882"/>
      <c r="W464" s="882"/>
      <c r="X464" s="882"/>
      <c r="Y464" s="882"/>
    </row>
    <row r="465" spans="1:25" x14ac:dyDescent="0.2">
      <c r="A465" s="881"/>
      <c r="B465" s="881"/>
      <c r="C465" s="881"/>
      <c r="D465" s="881"/>
      <c r="E465" s="881"/>
      <c r="R465" s="882"/>
      <c r="S465" s="882"/>
      <c r="T465" s="882"/>
      <c r="U465" s="882"/>
      <c r="V465" s="882"/>
      <c r="W465" s="882"/>
      <c r="X465" s="882"/>
      <c r="Y465" s="882"/>
    </row>
    <row r="466" spans="1:25" x14ac:dyDescent="0.2">
      <c r="A466" s="881"/>
      <c r="B466" s="881"/>
      <c r="C466" s="881"/>
      <c r="D466" s="881"/>
      <c r="E466" s="881"/>
      <c r="R466" s="882"/>
      <c r="S466" s="882"/>
      <c r="T466" s="882"/>
      <c r="U466" s="882"/>
      <c r="V466" s="882"/>
      <c r="W466" s="882"/>
      <c r="X466" s="882"/>
      <c r="Y466" s="882"/>
    </row>
    <row r="467" spans="1:25" x14ac:dyDescent="0.2">
      <c r="A467" s="881"/>
      <c r="B467" s="881"/>
      <c r="C467" s="881"/>
      <c r="D467" s="881"/>
      <c r="E467" s="881"/>
      <c r="R467" s="882"/>
      <c r="S467" s="882"/>
      <c r="T467" s="882"/>
      <c r="U467" s="882"/>
      <c r="V467" s="882"/>
      <c r="W467" s="882"/>
      <c r="X467" s="882"/>
      <c r="Y467" s="882"/>
    </row>
    <row r="468" spans="1:25" x14ac:dyDescent="0.2">
      <c r="A468" s="881"/>
      <c r="B468" s="881"/>
      <c r="C468" s="881"/>
      <c r="D468" s="881"/>
      <c r="E468" s="881"/>
      <c r="R468" s="882"/>
      <c r="S468" s="882"/>
      <c r="T468" s="882"/>
      <c r="U468" s="882"/>
      <c r="V468" s="882"/>
      <c r="W468" s="882"/>
      <c r="X468" s="882"/>
      <c r="Y468" s="882"/>
    </row>
    <row r="469" spans="1:25" x14ac:dyDescent="0.2">
      <c r="A469" s="881"/>
      <c r="B469" s="881"/>
      <c r="C469" s="881"/>
      <c r="D469" s="881"/>
      <c r="E469" s="881"/>
      <c r="R469" s="882"/>
      <c r="S469" s="882"/>
      <c r="T469" s="882"/>
      <c r="U469" s="882"/>
      <c r="V469" s="882"/>
      <c r="W469" s="882"/>
      <c r="X469" s="882"/>
      <c r="Y469" s="882"/>
    </row>
    <row r="470" spans="1:25" x14ac:dyDescent="0.2">
      <c r="A470" s="881"/>
      <c r="B470" s="881"/>
      <c r="C470" s="881"/>
      <c r="D470" s="881"/>
      <c r="E470" s="881"/>
      <c r="R470" s="882"/>
      <c r="S470" s="882"/>
      <c r="T470" s="882"/>
      <c r="U470" s="882"/>
      <c r="V470" s="882"/>
      <c r="W470" s="882"/>
      <c r="X470" s="882"/>
      <c r="Y470" s="882"/>
    </row>
    <row r="471" spans="1:25" x14ac:dyDescent="0.2">
      <c r="A471" s="881"/>
      <c r="B471" s="881"/>
      <c r="C471" s="881"/>
      <c r="D471" s="881"/>
      <c r="E471" s="881"/>
      <c r="R471" s="882"/>
      <c r="S471" s="882"/>
      <c r="T471" s="882"/>
      <c r="U471" s="882"/>
      <c r="V471" s="882"/>
      <c r="W471" s="882"/>
      <c r="X471" s="882"/>
      <c r="Y471" s="882"/>
    </row>
    <row r="472" spans="1:25" x14ac:dyDescent="0.2">
      <c r="A472" s="881"/>
      <c r="B472" s="881"/>
      <c r="C472" s="881"/>
      <c r="D472" s="881"/>
      <c r="E472" s="881"/>
      <c r="R472" s="882"/>
      <c r="S472" s="882"/>
      <c r="T472" s="882"/>
      <c r="U472" s="882"/>
      <c r="V472" s="882"/>
      <c r="W472" s="882"/>
      <c r="X472" s="882"/>
      <c r="Y472" s="882"/>
    </row>
    <row r="473" spans="1:25" x14ac:dyDescent="0.2">
      <c r="A473" s="881"/>
      <c r="B473" s="881"/>
      <c r="C473" s="881"/>
      <c r="D473" s="881"/>
      <c r="E473" s="881"/>
      <c r="R473" s="882"/>
      <c r="S473" s="882"/>
      <c r="T473" s="882"/>
      <c r="U473" s="882"/>
      <c r="V473" s="882"/>
      <c r="W473" s="882"/>
      <c r="X473" s="882"/>
      <c r="Y473" s="882"/>
    </row>
    <row r="474" spans="1:25" x14ac:dyDescent="0.2">
      <c r="A474" s="881"/>
      <c r="B474" s="881"/>
      <c r="C474" s="881"/>
      <c r="D474" s="881"/>
      <c r="E474" s="881"/>
      <c r="R474" s="882"/>
      <c r="S474" s="882"/>
      <c r="T474" s="882"/>
      <c r="U474" s="882"/>
      <c r="V474" s="882"/>
      <c r="W474" s="882"/>
      <c r="X474" s="882"/>
      <c r="Y474" s="882"/>
    </row>
    <row r="475" spans="1:25" x14ac:dyDescent="0.2">
      <c r="A475" s="881"/>
      <c r="B475" s="881"/>
      <c r="C475" s="881"/>
      <c r="D475" s="881"/>
      <c r="E475" s="881"/>
      <c r="R475" s="882"/>
      <c r="S475" s="882"/>
      <c r="T475" s="882"/>
      <c r="U475" s="882"/>
      <c r="V475" s="882"/>
      <c r="W475" s="882"/>
      <c r="X475" s="882"/>
      <c r="Y475" s="882"/>
    </row>
    <row r="476" spans="1:25" x14ac:dyDescent="0.2">
      <c r="A476" s="881"/>
      <c r="B476" s="881"/>
      <c r="C476" s="881"/>
      <c r="D476" s="881"/>
      <c r="E476" s="881"/>
      <c r="R476" s="882"/>
      <c r="S476" s="882"/>
      <c r="T476" s="882"/>
      <c r="U476" s="882"/>
      <c r="V476" s="882"/>
      <c r="W476" s="882"/>
      <c r="X476" s="882"/>
      <c r="Y476" s="882"/>
    </row>
    <row r="477" spans="1:25" x14ac:dyDescent="0.2">
      <c r="A477" s="881"/>
      <c r="B477" s="881"/>
      <c r="C477" s="881"/>
      <c r="D477" s="881"/>
      <c r="E477" s="881"/>
      <c r="R477" s="882"/>
      <c r="S477" s="882"/>
      <c r="T477" s="882"/>
      <c r="U477" s="882"/>
      <c r="V477" s="882"/>
      <c r="W477" s="882"/>
      <c r="X477" s="882"/>
      <c r="Y477" s="882"/>
    </row>
    <row r="478" spans="1:25" x14ac:dyDescent="0.2">
      <c r="A478" s="881"/>
      <c r="B478" s="881"/>
      <c r="C478" s="881"/>
      <c r="D478" s="881"/>
      <c r="E478" s="881"/>
      <c r="R478" s="882"/>
      <c r="S478" s="882"/>
      <c r="T478" s="882"/>
      <c r="U478" s="882"/>
      <c r="V478" s="882"/>
      <c r="W478" s="882"/>
      <c r="X478" s="882"/>
      <c r="Y478" s="882"/>
    </row>
    <row r="479" spans="1:25" x14ac:dyDescent="0.2">
      <c r="A479" s="881"/>
      <c r="B479" s="881"/>
      <c r="C479" s="881"/>
      <c r="D479" s="881"/>
      <c r="E479" s="881"/>
      <c r="R479" s="882"/>
      <c r="S479" s="882"/>
      <c r="T479" s="882"/>
      <c r="U479" s="882"/>
      <c r="V479" s="882"/>
      <c r="W479" s="882"/>
      <c r="X479" s="882"/>
      <c r="Y479" s="882"/>
    </row>
    <row r="480" spans="1:25" x14ac:dyDescent="0.2">
      <c r="A480" s="881"/>
      <c r="B480" s="881"/>
      <c r="C480" s="881"/>
      <c r="D480" s="881"/>
      <c r="E480" s="881"/>
      <c r="R480" s="882"/>
      <c r="S480" s="882"/>
      <c r="T480" s="882"/>
      <c r="U480" s="882"/>
      <c r="V480" s="882"/>
      <c r="W480" s="882"/>
      <c r="X480" s="882"/>
      <c r="Y480" s="882"/>
    </row>
    <row r="481" spans="1:25" x14ac:dyDescent="0.2">
      <c r="A481" s="881"/>
      <c r="B481" s="881"/>
      <c r="C481" s="881"/>
      <c r="D481" s="881"/>
      <c r="E481" s="881"/>
      <c r="R481" s="882"/>
      <c r="S481" s="882"/>
      <c r="T481" s="882"/>
      <c r="U481" s="882"/>
      <c r="V481" s="882"/>
      <c r="W481" s="882"/>
      <c r="X481" s="882"/>
      <c r="Y481" s="882"/>
    </row>
    <row r="482" spans="1:25" x14ac:dyDescent="0.2">
      <c r="A482" s="881"/>
      <c r="B482" s="881"/>
      <c r="C482" s="881"/>
      <c r="D482" s="881"/>
      <c r="E482" s="881"/>
      <c r="R482" s="882"/>
      <c r="S482" s="882"/>
      <c r="T482" s="882"/>
      <c r="U482" s="882"/>
      <c r="V482" s="882"/>
      <c r="W482" s="882"/>
      <c r="X482" s="882"/>
      <c r="Y482" s="882"/>
    </row>
    <row r="483" spans="1:25" x14ac:dyDescent="0.2">
      <c r="A483" s="881"/>
      <c r="B483" s="881"/>
      <c r="C483" s="881"/>
      <c r="D483" s="881"/>
      <c r="E483" s="881"/>
      <c r="R483" s="882"/>
      <c r="S483" s="882"/>
      <c r="T483" s="882"/>
      <c r="U483" s="882"/>
      <c r="V483" s="882"/>
      <c r="W483" s="882"/>
      <c r="X483" s="882"/>
      <c r="Y483" s="882"/>
    </row>
    <row r="484" spans="1:25" x14ac:dyDescent="0.2">
      <c r="A484" s="881"/>
      <c r="B484" s="881"/>
      <c r="C484" s="881"/>
      <c r="D484" s="881"/>
      <c r="E484" s="881"/>
      <c r="R484" s="882"/>
      <c r="S484" s="882"/>
      <c r="T484" s="882"/>
      <c r="U484" s="882"/>
      <c r="V484" s="882"/>
      <c r="W484" s="882"/>
      <c r="X484" s="882"/>
      <c r="Y484" s="882"/>
    </row>
    <row r="485" spans="1:25" x14ac:dyDescent="0.2">
      <c r="A485" s="881"/>
      <c r="B485" s="881"/>
      <c r="C485" s="881"/>
      <c r="D485" s="881"/>
      <c r="E485" s="881"/>
      <c r="R485" s="882"/>
      <c r="S485" s="882"/>
      <c r="T485" s="882"/>
      <c r="U485" s="882"/>
      <c r="V485" s="882"/>
      <c r="W485" s="882"/>
      <c r="X485" s="882"/>
      <c r="Y485" s="882"/>
    </row>
    <row r="486" spans="1:25" x14ac:dyDescent="0.2">
      <c r="A486" s="881"/>
      <c r="B486" s="881"/>
      <c r="C486" s="881"/>
      <c r="D486" s="881"/>
      <c r="E486" s="881"/>
      <c r="R486" s="882"/>
      <c r="S486" s="882"/>
      <c r="T486" s="882"/>
      <c r="U486" s="882"/>
      <c r="V486" s="882"/>
      <c r="W486" s="882"/>
      <c r="X486" s="882"/>
      <c r="Y486" s="882"/>
    </row>
    <row r="487" spans="1:25" x14ac:dyDescent="0.2">
      <c r="A487" s="881"/>
      <c r="B487" s="881"/>
      <c r="C487" s="881"/>
      <c r="D487" s="881"/>
      <c r="E487" s="881"/>
      <c r="R487" s="882"/>
      <c r="S487" s="882"/>
      <c r="T487" s="882"/>
      <c r="U487" s="882"/>
      <c r="V487" s="882"/>
      <c r="W487" s="882"/>
      <c r="X487" s="882"/>
      <c r="Y487" s="882"/>
    </row>
    <row r="488" spans="1:25" x14ac:dyDescent="0.2">
      <c r="A488" s="881"/>
      <c r="B488" s="881"/>
      <c r="C488" s="881"/>
      <c r="D488" s="881"/>
      <c r="E488" s="881"/>
      <c r="R488" s="882"/>
      <c r="S488" s="882"/>
      <c r="T488" s="882"/>
      <c r="U488" s="882"/>
      <c r="V488" s="882"/>
      <c r="W488" s="882"/>
      <c r="X488" s="882"/>
      <c r="Y488" s="882"/>
    </row>
    <row r="489" spans="1:25" x14ac:dyDescent="0.2">
      <c r="A489" s="881"/>
      <c r="B489" s="881"/>
      <c r="C489" s="881"/>
      <c r="D489" s="881"/>
      <c r="E489" s="881"/>
      <c r="R489" s="882"/>
      <c r="S489" s="882"/>
      <c r="T489" s="882"/>
      <c r="U489" s="882"/>
      <c r="V489" s="882"/>
      <c r="W489" s="882"/>
      <c r="X489" s="882"/>
      <c r="Y489" s="882"/>
    </row>
    <row r="490" spans="1:25" x14ac:dyDescent="0.2">
      <c r="A490" s="881"/>
      <c r="B490" s="881"/>
      <c r="C490" s="881"/>
      <c r="D490" s="881"/>
      <c r="E490" s="881"/>
      <c r="R490" s="882"/>
      <c r="S490" s="882"/>
      <c r="T490" s="882"/>
      <c r="U490" s="882"/>
      <c r="V490" s="882"/>
      <c r="W490" s="882"/>
      <c r="X490" s="882"/>
      <c r="Y490" s="882"/>
    </row>
    <row r="491" spans="1:25" x14ac:dyDescent="0.2">
      <c r="A491" s="881"/>
      <c r="B491" s="881"/>
      <c r="C491" s="881"/>
      <c r="D491" s="881"/>
      <c r="E491" s="881"/>
      <c r="R491" s="882"/>
      <c r="S491" s="882"/>
      <c r="T491" s="882"/>
      <c r="U491" s="882"/>
      <c r="V491" s="882"/>
      <c r="W491" s="882"/>
      <c r="X491" s="882"/>
      <c r="Y491" s="882"/>
    </row>
    <row r="492" spans="1:25" x14ac:dyDescent="0.2">
      <c r="A492" s="881"/>
      <c r="B492" s="881"/>
      <c r="C492" s="881"/>
      <c r="D492" s="881"/>
      <c r="E492" s="881"/>
      <c r="R492" s="882"/>
      <c r="S492" s="882"/>
      <c r="T492" s="882"/>
      <c r="U492" s="882"/>
      <c r="V492" s="882"/>
      <c r="W492" s="882"/>
      <c r="X492" s="882"/>
      <c r="Y492" s="882"/>
    </row>
    <row r="493" spans="1:25" x14ac:dyDescent="0.2">
      <c r="A493" s="881"/>
      <c r="B493" s="881"/>
      <c r="C493" s="881"/>
      <c r="D493" s="881"/>
      <c r="E493" s="881"/>
      <c r="R493" s="882"/>
      <c r="S493" s="882"/>
      <c r="T493" s="882"/>
      <c r="U493" s="882"/>
      <c r="V493" s="882"/>
      <c r="W493" s="882"/>
      <c r="X493" s="882"/>
      <c r="Y493" s="882"/>
    </row>
    <row r="494" spans="1:25" x14ac:dyDescent="0.2">
      <c r="A494" s="881"/>
      <c r="B494" s="881"/>
      <c r="C494" s="881"/>
      <c r="D494" s="881"/>
      <c r="E494" s="881"/>
      <c r="R494" s="882"/>
      <c r="S494" s="882"/>
      <c r="T494" s="882"/>
      <c r="U494" s="882"/>
      <c r="V494" s="882"/>
      <c r="W494" s="882"/>
      <c r="X494" s="882"/>
      <c r="Y494" s="882"/>
    </row>
    <row r="495" spans="1:25" x14ac:dyDescent="0.2">
      <c r="A495" s="881"/>
      <c r="B495" s="881"/>
      <c r="C495" s="881"/>
      <c r="D495" s="881"/>
      <c r="E495" s="881"/>
      <c r="R495" s="882"/>
      <c r="S495" s="882"/>
      <c r="T495" s="882"/>
      <c r="U495" s="882"/>
      <c r="V495" s="882"/>
      <c r="W495" s="882"/>
      <c r="X495" s="882"/>
      <c r="Y495" s="882"/>
    </row>
    <row r="496" spans="1:25" x14ac:dyDescent="0.2">
      <c r="A496" s="881"/>
      <c r="B496" s="881"/>
      <c r="C496" s="881"/>
      <c r="D496" s="881"/>
      <c r="E496" s="881"/>
      <c r="R496" s="882"/>
      <c r="S496" s="882"/>
      <c r="T496" s="882"/>
      <c r="U496" s="882"/>
      <c r="V496" s="882"/>
      <c r="W496" s="882"/>
      <c r="X496" s="882"/>
      <c r="Y496" s="882"/>
    </row>
    <row r="497" spans="1:25" x14ac:dyDescent="0.2">
      <c r="A497" s="881"/>
      <c r="B497" s="881"/>
      <c r="C497" s="881"/>
      <c r="D497" s="881"/>
      <c r="E497" s="881"/>
      <c r="R497" s="882"/>
      <c r="S497" s="882"/>
      <c r="T497" s="882"/>
      <c r="U497" s="882"/>
      <c r="V497" s="882"/>
      <c r="W497" s="882"/>
      <c r="X497" s="882"/>
      <c r="Y497" s="882"/>
    </row>
    <row r="498" spans="1:25" x14ac:dyDescent="0.2">
      <c r="A498" s="881"/>
      <c r="B498" s="881"/>
      <c r="C498" s="881"/>
      <c r="D498" s="881"/>
      <c r="E498" s="881"/>
      <c r="R498" s="882"/>
      <c r="S498" s="882"/>
      <c r="T498" s="882"/>
      <c r="U498" s="882"/>
      <c r="V498" s="882"/>
      <c r="W498" s="882"/>
      <c r="X498" s="882"/>
      <c r="Y498" s="882"/>
    </row>
    <row r="499" spans="1:25" x14ac:dyDescent="0.2">
      <c r="A499" s="881"/>
      <c r="B499" s="881"/>
      <c r="C499" s="881"/>
      <c r="D499" s="881"/>
      <c r="E499" s="881"/>
      <c r="R499" s="882"/>
      <c r="S499" s="882"/>
      <c r="T499" s="882"/>
      <c r="U499" s="882"/>
      <c r="V499" s="882"/>
      <c r="W499" s="882"/>
      <c r="X499" s="882"/>
      <c r="Y499" s="882"/>
    </row>
    <row r="500" spans="1:25" x14ac:dyDescent="0.2">
      <c r="A500" s="881"/>
      <c r="B500" s="881"/>
      <c r="C500" s="881"/>
      <c r="D500" s="881"/>
      <c r="E500" s="881"/>
      <c r="R500" s="882"/>
      <c r="S500" s="882"/>
      <c r="T500" s="882"/>
      <c r="U500" s="882"/>
      <c r="V500" s="882"/>
      <c r="W500" s="882"/>
      <c r="X500" s="882"/>
      <c r="Y500" s="882"/>
    </row>
    <row r="501" spans="1:25" x14ac:dyDescent="0.2">
      <c r="A501" s="881"/>
      <c r="B501" s="881"/>
      <c r="C501" s="881"/>
      <c r="D501" s="881"/>
      <c r="E501" s="881"/>
      <c r="R501" s="882"/>
      <c r="S501" s="882"/>
      <c r="T501" s="882"/>
      <c r="U501" s="882"/>
      <c r="V501" s="882"/>
      <c r="W501" s="882"/>
      <c r="X501" s="882"/>
      <c r="Y501" s="882"/>
    </row>
    <row r="502" spans="1:25" x14ac:dyDescent="0.2">
      <c r="A502" s="881"/>
      <c r="B502" s="881"/>
      <c r="C502" s="881"/>
      <c r="D502" s="881"/>
      <c r="E502" s="881"/>
      <c r="R502" s="882"/>
      <c r="S502" s="882"/>
      <c r="T502" s="882"/>
      <c r="U502" s="882"/>
      <c r="V502" s="882"/>
      <c r="W502" s="882"/>
      <c r="X502" s="882"/>
      <c r="Y502" s="882"/>
    </row>
    <row r="503" spans="1:25" x14ac:dyDescent="0.2">
      <c r="A503" s="881"/>
      <c r="B503" s="881"/>
      <c r="C503" s="881"/>
      <c r="D503" s="881"/>
      <c r="E503" s="881"/>
      <c r="R503" s="882"/>
      <c r="S503" s="882"/>
      <c r="T503" s="882"/>
      <c r="U503" s="882"/>
      <c r="V503" s="882"/>
      <c r="W503" s="882"/>
      <c r="X503" s="882"/>
      <c r="Y503" s="882"/>
    </row>
    <row r="504" spans="1:25" x14ac:dyDescent="0.2">
      <c r="A504" s="881"/>
      <c r="B504" s="881"/>
      <c r="C504" s="881"/>
      <c r="D504" s="881"/>
      <c r="E504" s="881"/>
      <c r="R504" s="882"/>
      <c r="S504" s="882"/>
      <c r="T504" s="882"/>
      <c r="U504" s="882"/>
      <c r="V504" s="882"/>
      <c r="W504" s="882"/>
      <c r="X504" s="882"/>
      <c r="Y504" s="882"/>
    </row>
    <row r="505" spans="1:25" x14ac:dyDescent="0.2">
      <c r="A505" s="881"/>
      <c r="B505" s="881"/>
      <c r="C505" s="881"/>
      <c r="D505" s="881"/>
      <c r="E505" s="881"/>
      <c r="R505" s="882"/>
      <c r="S505" s="882"/>
      <c r="T505" s="882"/>
      <c r="U505" s="882"/>
      <c r="V505" s="882"/>
      <c r="W505" s="882"/>
      <c r="X505" s="882"/>
      <c r="Y505" s="882"/>
    </row>
    <row r="506" spans="1:25" x14ac:dyDescent="0.2">
      <c r="A506" s="881"/>
      <c r="B506" s="881"/>
      <c r="C506" s="881"/>
      <c r="D506" s="881"/>
      <c r="E506" s="881"/>
      <c r="R506" s="882"/>
      <c r="S506" s="882"/>
      <c r="T506" s="882"/>
      <c r="U506" s="882"/>
      <c r="V506" s="882"/>
      <c r="W506" s="882"/>
      <c r="X506" s="882"/>
      <c r="Y506" s="882"/>
    </row>
    <row r="507" spans="1:25" x14ac:dyDescent="0.2">
      <c r="A507" s="881"/>
      <c r="B507" s="881"/>
      <c r="C507" s="881"/>
      <c r="D507" s="881"/>
      <c r="E507" s="881"/>
      <c r="R507" s="882"/>
      <c r="S507" s="882"/>
      <c r="T507" s="882"/>
      <c r="U507" s="882"/>
      <c r="V507" s="882"/>
      <c r="W507" s="882"/>
      <c r="X507" s="882"/>
      <c r="Y507" s="882"/>
    </row>
    <row r="508" spans="1:25" x14ac:dyDescent="0.2">
      <c r="A508" s="881"/>
      <c r="B508" s="881"/>
      <c r="C508" s="881"/>
      <c r="D508" s="881"/>
      <c r="E508" s="881"/>
      <c r="R508" s="882"/>
      <c r="S508" s="882"/>
      <c r="T508" s="882"/>
      <c r="U508" s="882"/>
      <c r="V508" s="882"/>
      <c r="W508" s="882"/>
      <c r="X508" s="882"/>
      <c r="Y508" s="882"/>
    </row>
    <row r="509" spans="1:25" x14ac:dyDescent="0.2">
      <c r="A509" s="881"/>
      <c r="B509" s="881"/>
      <c r="C509" s="881"/>
      <c r="D509" s="881"/>
      <c r="E509" s="881"/>
      <c r="R509" s="882"/>
      <c r="S509" s="882"/>
      <c r="T509" s="882"/>
      <c r="U509" s="882"/>
      <c r="V509" s="882"/>
      <c r="W509" s="882"/>
      <c r="X509" s="882"/>
      <c r="Y509" s="882"/>
    </row>
    <row r="510" spans="1:25" x14ac:dyDescent="0.2">
      <c r="A510" s="881"/>
      <c r="B510" s="881"/>
      <c r="C510" s="881"/>
      <c r="D510" s="881"/>
      <c r="E510" s="881"/>
      <c r="R510" s="882"/>
      <c r="S510" s="882"/>
      <c r="T510" s="882"/>
      <c r="U510" s="882"/>
      <c r="V510" s="882"/>
      <c r="W510" s="882"/>
      <c r="X510" s="882"/>
      <c r="Y510" s="882"/>
    </row>
    <row r="511" spans="1:25" x14ac:dyDescent="0.2">
      <c r="A511" s="881"/>
      <c r="B511" s="881"/>
      <c r="C511" s="881"/>
      <c r="D511" s="881"/>
      <c r="E511" s="881"/>
      <c r="R511" s="882"/>
      <c r="S511" s="882"/>
      <c r="T511" s="882"/>
      <c r="U511" s="882"/>
      <c r="V511" s="882"/>
      <c r="W511" s="882"/>
      <c r="X511" s="882"/>
      <c r="Y511" s="882"/>
    </row>
    <row r="512" spans="1:25" x14ac:dyDescent="0.2">
      <c r="A512" s="881"/>
      <c r="B512" s="881"/>
      <c r="C512" s="881"/>
      <c r="D512" s="881"/>
      <c r="E512" s="881"/>
      <c r="R512" s="882"/>
      <c r="S512" s="882"/>
      <c r="T512" s="882"/>
      <c r="U512" s="882"/>
      <c r="V512" s="882"/>
      <c r="W512" s="882"/>
      <c r="X512" s="882"/>
      <c r="Y512" s="882"/>
    </row>
    <row r="513" spans="1:25" x14ac:dyDescent="0.2">
      <c r="A513" s="881"/>
      <c r="B513" s="881"/>
      <c r="C513" s="881"/>
      <c r="D513" s="881"/>
      <c r="E513" s="881"/>
      <c r="R513" s="882"/>
      <c r="S513" s="882"/>
      <c r="T513" s="882"/>
      <c r="U513" s="882"/>
      <c r="V513" s="882"/>
      <c r="W513" s="882"/>
      <c r="X513" s="882"/>
      <c r="Y513" s="882"/>
    </row>
    <row r="514" spans="1:25" x14ac:dyDescent="0.2">
      <c r="A514" s="881"/>
      <c r="B514" s="881"/>
      <c r="C514" s="881"/>
      <c r="D514" s="881"/>
      <c r="E514" s="881"/>
      <c r="R514" s="882"/>
      <c r="S514" s="882"/>
      <c r="T514" s="882"/>
      <c r="U514" s="882"/>
      <c r="V514" s="882"/>
      <c r="W514" s="882"/>
      <c r="X514" s="882"/>
      <c r="Y514" s="882"/>
    </row>
    <row r="515" spans="1:25" x14ac:dyDescent="0.2">
      <c r="A515" s="881"/>
      <c r="B515" s="881"/>
      <c r="C515" s="881"/>
      <c r="D515" s="881"/>
      <c r="E515" s="881"/>
      <c r="R515" s="882"/>
      <c r="S515" s="882"/>
      <c r="T515" s="882"/>
      <c r="U515" s="882"/>
      <c r="V515" s="882"/>
      <c r="W515" s="882"/>
      <c r="X515" s="882"/>
      <c r="Y515" s="882"/>
    </row>
    <row r="516" spans="1:25" x14ac:dyDescent="0.2">
      <c r="A516" s="881"/>
      <c r="B516" s="881"/>
      <c r="C516" s="881"/>
      <c r="D516" s="881"/>
      <c r="E516" s="881"/>
      <c r="R516" s="882"/>
      <c r="S516" s="882"/>
      <c r="T516" s="882"/>
      <c r="U516" s="882"/>
      <c r="V516" s="882"/>
      <c r="W516" s="882"/>
      <c r="X516" s="882"/>
      <c r="Y516" s="882"/>
    </row>
    <row r="517" spans="1:25" x14ac:dyDescent="0.2">
      <c r="A517" s="881"/>
      <c r="B517" s="881"/>
      <c r="C517" s="881"/>
      <c r="D517" s="881"/>
      <c r="E517" s="881"/>
      <c r="R517" s="882"/>
      <c r="S517" s="882"/>
      <c r="T517" s="882"/>
      <c r="U517" s="882"/>
      <c r="V517" s="882"/>
      <c r="W517" s="882"/>
      <c r="X517" s="882"/>
      <c r="Y517" s="882"/>
    </row>
    <row r="518" spans="1:25" x14ac:dyDescent="0.2">
      <c r="A518" s="881"/>
      <c r="B518" s="881"/>
      <c r="C518" s="881"/>
      <c r="D518" s="881"/>
      <c r="E518" s="881"/>
      <c r="R518" s="882"/>
      <c r="S518" s="882"/>
      <c r="T518" s="882"/>
      <c r="U518" s="882"/>
      <c r="V518" s="882"/>
      <c r="W518" s="882"/>
      <c r="X518" s="882"/>
      <c r="Y518" s="882"/>
    </row>
    <row r="519" spans="1:25" x14ac:dyDescent="0.2">
      <c r="A519" s="881"/>
      <c r="B519" s="881"/>
      <c r="C519" s="881"/>
      <c r="D519" s="881"/>
      <c r="E519" s="881"/>
      <c r="R519" s="882"/>
      <c r="S519" s="882"/>
      <c r="T519" s="882"/>
      <c r="U519" s="882"/>
      <c r="V519" s="882"/>
      <c r="W519" s="882"/>
      <c r="X519" s="882"/>
      <c r="Y519" s="882"/>
    </row>
    <row r="520" spans="1:25" x14ac:dyDescent="0.2">
      <c r="A520" s="881"/>
      <c r="B520" s="881"/>
      <c r="C520" s="881"/>
      <c r="D520" s="881"/>
      <c r="E520" s="881"/>
      <c r="R520" s="882"/>
      <c r="S520" s="882"/>
      <c r="T520" s="882"/>
      <c r="U520" s="882"/>
      <c r="V520" s="882"/>
      <c r="W520" s="882"/>
      <c r="X520" s="882"/>
      <c r="Y520" s="882"/>
    </row>
    <row r="521" spans="1:25" x14ac:dyDescent="0.2">
      <c r="A521" s="881"/>
      <c r="B521" s="881"/>
      <c r="C521" s="881"/>
      <c r="D521" s="881"/>
      <c r="E521" s="881"/>
      <c r="R521" s="882"/>
      <c r="S521" s="882"/>
      <c r="T521" s="882"/>
      <c r="U521" s="882"/>
      <c r="V521" s="882"/>
      <c r="W521" s="882"/>
      <c r="X521" s="882"/>
      <c r="Y521" s="882"/>
    </row>
    <row r="522" spans="1:25" x14ac:dyDescent="0.2">
      <c r="A522" s="881"/>
      <c r="B522" s="881"/>
      <c r="C522" s="881"/>
      <c r="D522" s="881"/>
      <c r="E522" s="881"/>
      <c r="R522" s="882"/>
      <c r="S522" s="882"/>
      <c r="T522" s="882"/>
      <c r="U522" s="882"/>
      <c r="V522" s="882"/>
      <c r="W522" s="882"/>
      <c r="X522" s="882"/>
      <c r="Y522" s="882"/>
    </row>
    <row r="523" spans="1:25" x14ac:dyDescent="0.2">
      <c r="A523" s="881"/>
      <c r="B523" s="881"/>
      <c r="C523" s="881"/>
      <c r="D523" s="881"/>
      <c r="E523" s="881"/>
      <c r="R523" s="882"/>
      <c r="S523" s="882"/>
      <c r="T523" s="882"/>
      <c r="U523" s="882"/>
      <c r="V523" s="882"/>
      <c r="W523" s="882"/>
      <c r="X523" s="882"/>
      <c r="Y523" s="882"/>
    </row>
    <row r="524" spans="1:25" x14ac:dyDescent="0.2">
      <c r="A524" s="881"/>
      <c r="B524" s="881"/>
      <c r="C524" s="881"/>
      <c r="D524" s="881"/>
      <c r="E524" s="881"/>
      <c r="R524" s="882"/>
      <c r="S524" s="882"/>
      <c r="T524" s="882"/>
      <c r="U524" s="882"/>
      <c r="V524" s="882"/>
      <c r="W524" s="882"/>
      <c r="X524" s="882"/>
      <c r="Y524" s="882"/>
    </row>
    <row r="525" spans="1:25" x14ac:dyDescent="0.2">
      <c r="A525" s="881"/>
      <c r="B525" s="881"/>
      <c r="C525" s="881"/>
      <c r="D525" s="881"/>
      <c r="E525" s="881"/>
      <c r="R525" s="882"/>
      <c r="S525" s="882"/>
      <c r="T525" s="882"/>
      <c r="U525" s="882"/>
      <c r="V525" s="882"/>
      <c r="W525" s="882"/>
      <c r="X525" s="882"/>
      <c r="Y525" s="882"/>
    </row>
    <row r="526" spans="1:25" x14ac:dyDescent="0.2">
      <c r="A526" s="881"/>
      <c r="B526" s="881"/>
      <c r="C526" s="881"/>
      <c r="D526" s="881"/>
      <c r="E526" s="881"/>
      <c r="R526" s="882"/>
      <c r="S526" s="882"/>
      <c r="T526" s="882"/>
      <c r="U526" s="882"/>
      <c r="V526" s="882"/>
      <c r="W526" s="882"/>
      <c r="X526" s="882"/>
      <c r="Y526" s="882"/>
    </row>
    <row r="527" spans="1:25" x14ac:dyDescent="0.2">
      <c r="A527" s="881"/>
      <c r="B527" s="881"/>
      <c r="C527" s="881"/>
      <c r="D527" s="881"/>
      <c r="E527" s="881"/>
      <c r="R527" s="882"/>
      <c r="S527" s="882"/>
      <c r="T527" s="882"/>
      <c r="U527" s="882"/>
      <c r="V527" s="882"/>
      <c r="W527" s="882"/>
      <c r="X527" s="882"/>
      <c r="Y527" s="882"/>
    </row>
    <row r="528" spans="1:25" x14ac:dyDescent="0.2">
      <c r="A528" s="881"/>
      <c r="B528" s="881"/>
      <c r="C528" s="881"/>
      <c r="D528" s="881"/>
      <c r="E528" s="881"/>
      <c r="R528" s="882"/>
      <c r="S528" s="882"/>
      <c r="T528" s="882"/>
      <c r="U528" s="882"/>
      <c r="V528" s="882"/>
      <c r="W528" s="882"/>
      <c r="X528" s="882"/>
      <c r="Y528" s="882"/>
    </row>
    <row r="529" spans="1:25" x14ac:dyDescent="0.2">
      <c r="A529" s="881"/>
      <c r="B529" s="881"/>
      <c r="C529" s="881"/>
      <c r="D529" s="881"/>
      <c r="E529" s="881"/>
      <c r="R529" s="882"/>
      <c r="S529" s="882"/>
      <c r="T529" s="882"/>
      <c r="U529" s="882"/>
      <c r="V529" s="882"/>
      <c r="W529" s="882"/>
      <c r="X529" s="882"/>
      <c r="Y529" s="882"/>
    </row>
    <row r="530" spans="1:25" x14ac:dyDescent="0.2">
      <c r="A530" s="881"/>
      <c r="B530" s="881"/>
      <c r="C530" s="881"/>
      <c r="D530" s="881"/>
      <c r="E530" s="881"/>
      <c r="R530" s="882"/>
      <c r="S530" s="882"/>
      <c r="T530" s="882"/>
      <c r="U530" s="882"/>
      <c r="V530" s="882"/>
      <c r="W530" s="882"/>
      <c r="X530" s="882"/>
      <c r="Y530" s="882"/>
    </row>
    <row r="531" spans="1:25" x14ac:dyDescent="0.2">
      <c r="A531" s="881"/>
      <c r="B531" s="881"/>
      <c r="C531" s="881"/>
      <c r="D531" s="881"/>
      <c r="E531" s="881"/>
      <c r="R531" s="882"/>
      <c r="S531" s="882"/>
      <c r="T531" s="882"/>
      <c r="U531" s="882"/>
      <c r="V531" s="882"/>
      <c r="W531" s="882"/>
      <c r="X531" s="882"/>
      <c r="Y531" s="882"/>
    </row>
    <row r="532" spans="1:25" x14ac:dyDescent="0.2">
      <c r="A532" s="881"/>
      <c r="B532" s="881"/>
      <c r="C532" s="881"/>
      <c r="D532" s="881"/>
      <c r="E532" s="881"/>
      <c r="R532" s="882"/>
      <c r="S532" s="882"/>
      <c r="T532" s="882"/>
      <c r="U532" s="882"/>
      <c r="V532" s="882"/>
      <c r="W532" s="882"/>
      <c r="X532" s="882"/>
      <c r="Y532" s="882"/>
    </row>
    <row r="533" spans="1:25" x14ac:dyDescent="0.2">
      <c r="A533" s="881"/>
      <c r="B533" s="881"/>
      <c r="C533" s="881"/>
      <c r="D533" s="881"/>
      <c r="E533" s="881"/>
      <c r="R533" s="882"/>
      <c r="S533" s="882"/>
      <c r="T533" s="882"/>
      <c r="U533" s="882"/>
      <c r="V533" s="882"/>
      <c r="W533" s="882"/>
      <c r="X533" s="882"/>
      <c r="Y533" s="882"/>
    </row>
    <row r="534" spans="1:25" x14ac:dyDescent="0.2">
      <c r="A534" s="881"/>
      <c r="B534" s="881"/>
      <c r="C534" s="881"/>
      <c r="D534" s="881"/>
      <c r="E534" s="881"/>
      <c r="R534" s="882"/>
      <c r="S534" s="882"/>
      <c r="T534" s="882"/>
      <c r="U534" s="882"/>
      <c r="V534" s="882"/>
      <c r="W534" s="882"/>
      <c r="X534" s="882"/>
      <c r="Y534" s="882"/>
    </row>
    <row r="535" spans="1:25" x14ac:dyDescent="0.2">
      <c r="A535" s="881"/>
      <c r="B535" s="881"/>
      <c r="C535" s="881"/>
      <c r="D535" s="881"/>
      <c r="E535" s="881"/>
      <c r="R535" s="882"/>
      <c r="S535" s="882"/>
      <c r="T535" s="882"/>
      <c r="U535" s="882"/>
      <c r="V535" s="882"/>
      <c r="W535" s="882"/>
      <c r="X535" s="882"/>
      <c r="Y535" s="882"/>
    </row>
    <row r="536" spans="1:25" x14ac:dyDescent="0.2">
      <c r="A536" s="881"/>
      <c r="B536" s="881"/>
      <c r="C536" s="881"/>
      <c r="D536" s="881"/>
      <c r="E536" s="881"/>
      <c r="R536" s="882"/>
      <c r="S536" s="882"/>
      <c r="T536" s="882"/>
      <c r="U536" s="882"/>
      <c r="V536" s="882"/>
      <c r="W536" s="882"/>
      <c r="X536" s="882"/>
      <c r="Y536" s="882"/>
    </row>
    <row r="537" spans="1:25" x14ac:dyDescent="0.2">
      <c r="A537" s="881"/>
      <c r="B537" s="881"/>
      <c r="C537" s="881"/>
      <c r="D537" s="881"/>
      <c r="E537" s="881"/>
      <c r="R537" s="882"/>
      <c r="S537" s="882"/>
      <c r="T537" s="882"/>
      <c r="U537" s="882"/>
      <c r="V537" s="882"/>
      <c r="W537" s="882"/>
      <c r="X537" s="882"/>
      <c r="Y537" s="882"/>
    </row>
    <row r="538" spans="1:25" x14ac:dyDescent="0.2">
      <c r="A538" s="881"/>
      <c r="B538" s="881"/>
      <c r="C538" s="881"/>
      <c r="D538" s="881"/>
      <c r="E538" s="881"/>
      <c r="R538" s="882"/>
      <c r="S538" s="882"/>
      <c r="T538" s="882"/>
      <c r="U538" s="882"/>
      <c r="V538" s="882"/>
      <c r="W538" s="882"/>
      <c r="X538" s="882"/>
      <c r="Y538" s="882"/>
    </row>
    <row r="539" spans="1:25" x14ac:dyDescent="0.2">
      <c r="A539" s="881"/>
      <c r="B539" s="881"/>
      <c r="C539" s="881"/>
      <c r="D539" s="881"/>
      <c r="E539" s="881"/>
      <c r="R539" s="882"/>
      <c r="S539" s="882"/>
      <c r="T539" s="882"/>
      <c r="U539" s="882"/>
      <c r="V539" s="882"/>
      <c r="W539" s="882"/>
      <c r="X539" s="882"/>
      <c r="Y539" s="882"/>
    </row>
    <row r="540" spans="1:25" x14ac:dyDescent="0.2">
      <c r="A540" s="881"/>
      <c r="B540" s="881"/>
      <c r="C540" s="881"/>
      <c r="D540" s="881"/>
      <c r="E540" s="881"/>
      <c r="R540" s="882"/>
      <c r="S540" s="882"/>
      <c r="T540" s="882"/>
      <c r="U540" s="882"/>
      <c r="V540" s="882"/>
      <c r="W540" s="882"/>
      <c r="X540" s="882"/>
      <c r="Y540" s="882"/>
    </row>
    <row r="541" spans="1:25" x14ac:dyDescent="0.2">
      <c r="A541" s="881"/>
      <c r="B541" s="881"/>
      <c r="C541" s="881"/>
      <c r="D541" s="881"/>
      <c r="E541" s="881"/>
      <c r="R541" s="882"/>
      <c r="S541" s="882"/>
      <c r="T541" s="882"/>
      <c r="U541" s="882"/>
      <c r="V541" s="882"/>
      <c r="W541" s="882"/>
      <c r="X541" s="882"/>
      <c r="Y541" s="882"/>
    </row>
    <row r="542" spans="1:25" x14ac:dyDescent="0.2">
      <c r="A542" s="881"/>
      <c r="B542" s="881"/>
      <c r="C542" s="881"/>
      <c r="D542" s="881"/>
      <c r="E542" s="881"/>
      <c r="R542" s="882"/>
      <c r="S542" s="882"/>
      <c r="T542" s="882"/>
      <c r="U542" s="882"/>
      <c r="V542" s="882"/>
      <c r="W542" s="882"/>
      <c r="X542" s="882"/>
      <c r="Y542" s="882"/>
    </row>
    <row r="543" spans="1:25" x14ac:dyDescent="0.2">
      <c r="A543" s="881"/>
      <c r="B543" s="881"/>
      <c r="C543" s="881"/>
      <c r="D543" s="881"/>
      <c r="E543" s="881"/>
      <c r="R543" s="882"/>
      <c r="S543" s="882"/>
      <c r="T543" s="882"/>
      <c r="U543" s="882"/>
      <c r="V543" s="882"/>
      <c r="W543" s="882"/>
      <c r="X543" s="882"/>
      <c r="Y543" s="882"/>
    </row>
    <row r="544" spans="1:25" x14ac:dyDescent="0.2">
      <c r="A544" s="881"/>
      <c r="B544" s="881"/>
      <c r="C544" s="881"/>
      <c r="D544" s="881"/>
      <c r="E544" s="881"/>
      <c r="R544" s="882"/>
      <c r="S544" s="882"/>
      <c r="T544" s="882"/>
      <c r="U544" s="882"/>
      <c r="V544" s="882"/>
      <c r="W544" s="882"/>
      <c r="X544" s="882"/>
      <c r="Y544" s="882"/>
    </row>
    <row r="545" spans="1:25" x14ac:dyDescent="0.2">
      <c r="A545" s="881"/>
      <c r="B545" s="881"/>
      <c r="C545" s="881"/>
      <c r="D545" s="881"/>
      <c r="E545" s="881"/>
      <c r="R545" s="882"/>
      <c r="S545" s="882"/>
      <c r="T545" s="882"/>
      <c r="U545" s="882"/>
      <c r="V545" s="882"/>
      <c r="W545" s="882"/>
      <c r="X545" s="882"/>
      <c r="Y545" s="882"/>
    </row>
    <row r="546" spans="1:25" x14ac:dyDescent="0.2">
      <c r="A546" s="881"/>
      <c r="B546" s="881"/>
      <c r="C546" s="881"/>
      <c r="D546" s="881"/>
      <c r="E546" s="881"/>
      <c r="R546" s="882"/>
      <c r="S546" s="882"/>
      <c r="T546" s="882"/>
      <c r="U546" s="882"/>
      <c r="V546" s="882"/>
      <c r="W546" s="882"/>
      <c r="X546" s="882"/>
      <c r="Y546" s="882"/>
    </row>
    <row r="547" spans="1:25" x14ac:dyDescent="0.2">
      <c r="A547" s="881"/>
      <c r="B547" s="881"/>
      <c r="C547" s="881"/>
      <c r="D547" s="881"/>
      <c r="E547" s="881"/>
      <c r="R547" s="882"/>
      <c r="S547" s="882"/>
      <c r="T547" s="882"/>
      <c r="U547" s="882"/>
      <c r="V547" s="882"/>
      <c r="W547" s="882"/>
      <c r="X547" s="882"/>
      <c r="Y547" s="882"/>
    </row>
    <row r="548" spans="1:25" x14ac:dyDescent="0.2">
      <c r="A548" s="881"/>
      <c r="B548" s="881"/>
      <c r="C548" s="881"/>
      <c r="D548" s="881"/>
      <c r="E548" s="881"/>
      <c r="R548" s="882"/>
      <c r="S548" s="882"/>
      <c r="T548" s="882"/>
      <c r="U548" s="882"/>
      <c r="V548" s="882"/>
      <c r="W548" s="882"/>
      <c r="X548" s="882"/>
      <c r="Y548" s="882"/>
    </row>
    <row r="549" spans="1:25" x14ac:dyDescent="0.2">
      <c r="A549" s="881"/>
      <c r="B549" s="881"/>
      <c r="C549" s="881"/>
      <c r="D549" s="881"/>
      <c r="E549" s="881"/>
      <c r="R549" s="882"/>
      <c r="S549" s="882"/>
      <c r="T549" s="882"/>
      <c r="U549" s="882"/>
      <c r="V549" s="882"/>
      <c r="W549" s="882"/>
      <c r="X549" s="882"/>
      <c r="Y549" s="882"/>
    </row>
    <row r="550" spans="1:25" x14ac:dyDescent="0.2">
      <c r="A550" s="881"/>
      <c r="B550" s="881"/>
      <c r="C550" s="881"/>
      <c r="D550" s="881"/>
      <c r="E550" s="881"/>
      <c r="R550" s="882"/>
      <c r="S550" s="882"/>
      <c r="T550" s="882"/>
      <c r="U550" s="882"/>
      <c r="V550" s="882"/>
      <c r="W550" s="882"/>
      <c r="X550" s="882"/>
      <c r="Y550" s="882"/>
    </row>
    <row r="551" spans="1:25" x14ac:dyDescent="0.2">
      <c r="A551" s="881"/>
      <c r="B551" s="881"/>
      <c r="C551" s="881"/>
      <c r="D551" s="881"/>
      <c r="E551" s="881"/>
      <c r="R551" s="882"/>
      <c r="S551" s="882"/>
      <c r="T551" s="882"/>
      <c r="U551" s="882"/>
      <c r="V551" s="882"/>
      <c r="W551" s="882"/>
      <c r="X551" s="882"/>
      <c r="Y551" s="882"/>
    </row>
    <row r="552" spans="1:25" x14ac:dyDescent="0.2">
      <c r="A552" s="881"/>
      <c r="B552" s="881"/>
      <c r="C552" s="881"/>
      <c r="D552" s="881"/>
      <c r="E552" s="881"/>
      <c r="R552" s="882"/>
      <c r="S552" s="882"/>
      <c r="T552" s="882"/>
      <c r="U552" s="882"/>
      <c r="V552" s="882"/>
      <c r="W552" s="882"/>
      <c r="X552" s="882"/>
      <c r="Y552" s="882"/>
    </row>
    <row r="553" spans="1:25" x14ac:dyDescent="0.2">
      <c r="A553" s="881"/>
      <c r="B553" s="881"/>
      <c r="C553" s="881"/>
      <c r="D553" s="881"/>
      <c r="E553" s="881"/>
      <c r="R553" s="882"/>
      <c r="S553" s="882"/>
      <c r="T553" s="882"/>
      <c r="U553" s="882"/>
      <c r="V553" s="882"/>
      <c r="W553" s="882"/>
      <c r="X553" s="882"/>
      <c r="Y553" s="882"/>
    </row>
    <row r="554" spans="1:25" x14ac:dyDescent="0.2">
      <c r="A554" s="881"/>
      <c r="B554" s="881"/>
      <c r="C554" s="881"/>
      <c r="D554" s="881"/>
      <c r="E554" s="881"/>
      <c r="R554" s="882"/>
      <c r="S554" s="882"/>
      <c r="T554" s="882"/>
      <c r="U554" s="882"/>
      <c r="V554" s="882"/>
      <c r="W554" s="882"/>
      <c r="X554" s="882"/>
      <c r="Y554" s="882"/>
    </row>
    <row r="555" spans="1:25" x14ac:dyDescent="0.2">
      <c r="A555" s="881"/>
      <c r="B555" s="881"/>
      <c r="C555" s="881"/>
      <c r="D555" s="881"/>
      <c r="E555" s="881"/>
      <c r="R555" s="882"/>
      <c r="S555" s="882"/>
      <c r="T555" s="882"/>
      <c r="U555" s="882"/>
      <c r="V555" s="882"/>
      <c r="W555" s="882"/>
      <c r="X555" s="882"/>
      <c r="Y555" s="882"/>
    </row>
    <row r="556" spans="1:25" x14ac:dyDescent="0.2">
      <c r="A556" s="881"/>
      <c r="B556" s="881"/>
      <c r="C556" s="881"/>
      <c r="D556" s="881"/>
      <c r="E556" s="881"/>
      <c r="R556" s="882"/>
      <c r="S556" s="882"/>
      <c r="T556" s="882"/>
      <c r="U556" s="882"/>
      <c r="V556" s="882"/>
      <c r="W556" s="882"/>
      <c r="X556" s="882"/>
      <c r="Y556" s="882"/>
    </row>
    <row r="557" spans="1:25" x14ac:dyDescent="0.2">
      <c r="A557" s="881"/>
      <c r="B557" s="881"/>
      <c r="C557" s="881"/>
      <c r="D557" s="881"/>
      <c r="E557" s="881"/>
      <c r="R557" s="882"/>
      <c r="S557" s="882"/>
      <c r="T557" s="882"/>
      <c r="U557" s="882"/>
      <c r="V557" s="882"/>
      <c r="W557" s="882"/>
      <c r="X557" s="882"/>
      <c r="Y557" s="882"/>
    </row>
    <row r="558" spans="1:25" x14ac:dyDescent="0.2">
      <c r="A558" s="881"/>
      <c r="B558" s="881"/>
      <c r="C558" s="881"/>
      <c r="D558" s="881"/>
      <c r="E558" s="881"/>
      <c r="R558" s="882"/>
      <c r="S558" s="882"/>
      <c r="T558" s="882"/>
      <c r="U558" s="882"/>
      <c r="V558" s="882"/>
      <c r="W558" s="882"/>
      <c r="X558" s="882"/>
      <c r="Y558" s="882"/>
    </row>
    <row r="559" spans="1:25" x14ac:dyDescent="0.2">
      <c r="A559" s="881"/>
      <c r="B559" s="881"/>
      <c r="C559" s="881"/>
      <c r="D559" s="881"/>
      <c r="E559" s="881"/>
      <c r="R559" s="882"/>
      <c r="S559" s="882"/>
      <c r="T559" s="882"/>
      <c r="U559" s="882"/>
      <c r="V559" s="882"/>
      <c r="W559" s="882"/>
      <c r="X559" s="882"/>
      <c r="Y559" s="882"/>
    </row>
    <row r="560" spans="1:25" x14ac:dyDescent="0.2">
      <c r="A560" s="881"/>
      <c r="B560" s="881"/>
      <c r="C560" s="881"/>
      <c r="D560" s="881"/>
      <c r="E560" s="881"/>
      <c r="R560" s="882"/>
      <c r="S560" s="882"/>
      <c r="T560" s="882"/>
      <c r="U560" s="882"/>
      <c r="V560" s="882"/>
      <c r="W560" s="882"/>
      <c r="X560" s="882"/>
      <c r="Y560" s="882"/>
    </row>
    <row r="561" spans="1:25" x14ac:dyDescent="0.2">
      <c r="A561" s="881"/>
      <c r="B561" s="881"/>
      <c r="C561" s="881"/>
      <c r="D561" s="881"/>
      <c r="E561" s="881"/>
      <c r="R561" s="882"/>
      <c r="S561" s="882"/>
      <c r="T561" s="882"/>
      <c r="U561" s="882"/>
      <c r="V561" s="882"/>
      <c r="W561" s="882"/>
      <c r="X561" s="882"/>
      <c r="Y561" s="882"/>
    </row>
    <row r="562" spans="1:25" x14ac:dyDescent="0.2">
      <c r="A562" s="881"/>
      <c r="B562" s="881"/>
      <c r="C562" s="881"/>
      <c r="D562" s="881"/>
      <c r="E562" s="881"/>
      <c r="R562" s="882"/>
      <c r="S562" s="882"/>
      <c r="T562" s="882"/>
      <c r="U562" s="882"/>
      <c r="V562" s="882"/>
      <c r="W562" s="882"/>
      <c r="X562" s="882"/>
      <c r="Y562" s="882"/>
    </row>
    <row r="563" spans="1:25" x14ac:dyDescent="0.2">
      <c r="A563" s="881"/>
      <c r="B563" s="881"/>
      <c r="C563" s="881"/>
      <c r="D563" s="881"/>
      <c r="E563" s="881"/>
      <c r="R563" s="882"/>
      <c r="S563" s="882"/>
      <c r="T563" s="882"/>
      <c r="U563" s="882"/>
      <c r="V563" s="882"/>
      <c r="W563" s="882"/>
      <c r="X563" s="882"/>
      <c r="Y563" s="882"/>
    </row>
    <row r="564" spans="1:25" x14ac:dyDescent="0.2">
      <c r="A564" s="881"/>
      <c r="B564" s="881"/>
      <c r="C564" s="881"/>
      <c r="D564" s="881"/>
      <c r="E564" s="881"/>
      <c r="R564" s="882"/>
      <c r="S564" s="882"/>
      <c r="T564" s="882"/>
      <c r="U564" s="882"/>
      <c r="V564" s="882"/>
      <c r="W564" s="882"/>
      <c r="X564" s="882"/>
      <c r="Y564" s="882"/>
    </row>
    <row r="565" spans="1:25" x14ac:dyDescent="0.2">
      <c r="A565" s="881"/>
      <c r="B565" s="881"/>
      <c r="C565" s="881"/>
      <c r="D565" s="881"/>
      <c r="E565" s="881"/>
      <c r="R565" s="882"/>
      <c r="S565" s="882"/>
      <c r="T565" s="882"/>
      <c r="U565" s="882"/>
      <c r="V565" s="882"/>
      <c r="W565" s="882"/>
      <c r="X565" s="882"/>
      <c r="Y565" s="882"/>
    </row>
    <row r="566" spans="1:25" x14ac:dyDescent="0.2">
      <c r="A566" s="881"/>
      <c r="B566" s="881"/>
      <c r="C566" s="881"/>
      <c r="D566" s="881"/>
      <c r="E566" s="881"/>
      <c r="R566" s="882"/>
      <c r="S566" s="882"/>
      <c r="T566" s="882"/>
      <c r="U566" s="882"/>
      <c r="V566" s="882"/>
      <c r="W566" s="882"/>
      <c r="X566" s="882"/>
      <c r="Y566" s="882"/>
    </row>
    <row r="567" spans="1:25" x14ac:dyDescent="0.2">
      <c r="A567" s="881"/>
      <c r="B567" s="881"/>
      <c r="C567" s="881"/>
      <c r="D567" s="881"/>
      <c r="E567" s="881"/>
      <c r="R567" s="882"/>
      <c r="S567" s="882"/>
      <c r="T567" s="882"/>
      <c r="U567" s="882"/>
      <c r="V567" s="882"/>
      <c r="W567" s="882"/>
      <c r="X567" s="882"/>
      <c r="Y567" s="882"/>
    </row>
    <row r="568" spans="1:25" x14ac:dyDescent="0.2">
      <c r="A568" s="881"/>
      <c r="B568" s="881"/>
      <c r="C568" s="881"/>
      <c r="D568" s="881"/>
      <c r="E568" s="881"/>
      <c r="R568" s="882"/>
      <c r="S568" s="882"/>
      <c r="T568" s="882"/>
      <c r="U568" s="882"/>
      <c r="V568" s="882"/>
      <c r="W568" s="882"/>
      <c r="X568" s="882"/>
      <c r="Y568" s="882"/>
    </row>
    <row r="569" spans="1:25" x14ac:dyDescent="0.2">
      <c r="A569" s="881"/>
      <c r="B569" s="881"/>
      <c r="C569" s="881"/>
      <c r="D569" s="881"/>
      <c r="E569" s="881"/>
      <c r="R569" s="882"/>
      <c r="S569" s="882"/>
      <c r="T569" s="882"/>
      <c r="U569" s="882"/>
      <c r="V569" s="882"/>
      <c r="W569" s="882"/>
      <c r="X569" s="882"/>
      <c r="Y569" s="882"/>
    </row>
    <row r="570" spans="1:25" x14ac:dyDescent="0.2">
      <c r="A570" s="881"/>
      <c r="B570" s="881"/>
      <c r="C570" s="881"/>
      <c r="D570" s="881"/>
      <c r="E570" s="881"/>
      <c r="R570" s="882"/>
      <c r="S570" s="882"/>
      <c r="T570" s="882"/>
      <c r="U570" s="882"/>
      <c r="V570" s="882"/>
      <c r="W570" s="882"/>
      <c r="X570" s="882"/>
      <c r="Y570" s="882"/>
    </row>
    <row r="571" spans="1:25" x14ac:dyDescent="0.2">
      <c r="A571" s="881"/>
      <c r="B571" s="881"/>
      <c r="C571" s="881"/>
      <c r="D571" s="881"/>
      <c r="E571" s="881"/>
      <c r="R571" s="882"/>
      <c r="S571" s="882"/>
      <c r="T571" s="882"/>
      <c r="U571" s="882"/>
      <c r="V571" s="882"/>
      <c r="W571" s="882"/>
      <c r="X571" s="882"/>
      <c r="Y571" s="882"/>
    </row>
    <row r="572" spans="1:25" x14ac:dyDescent="0.2">
      <c r="A572" s="881"/>
      <c r="B572" s="881"/>
      <c r="C572" s="881"/>
      <c r="D572" s="881"/>
      <c r="E572" s="881"/>
      <c r="R572" s="882"/>
      <c r="S572" s="882"/>
      <c r="T572" s="882"/>
      <c r="U572" s="882"/>
      <c r="V572" s="882"/>
      <c r="W572" s="882"/>
      <c r="X572" s="882"/>
      <c r="Y572" s="882"/>
    </row>
    <row r="573" spans="1:25" x14ac:dyDescent="0.2">
      <c r="A573" s="881"/>
      <c r="B573" s="881"/>
      <c r="C573" s="881"/>
      <c r="D573" s="881"/>
      <c r="E573" s="881"/>
      <c r="R573" s="882"/>
      <c r="S573" s="882"/>
      <c r="T573" s="882"/>
      <c r="U573" s="882"/>
      <c r="V573" s="882"/>
      <c r="W573" s="882"/>
      <c r="X573" s="882"/>
      <c r="Y573" s="882"/>
    </row>
    <row r="574" spans="1:25" x14ac:dyDescent="0.2">
      <c r="A574" s="881"/>
      <c r="B574" s="881"/>
      <c r="C574" s="881"/>
      <c r="D574" s="881"/>
      <c r="E574" s="881"/>
      <c r="R574" s="882"/>
      <c r="S574" s="882"/>
      <c r="T574" s="882"/>
      <c r="U574" s="882"/>
      <c r="V574" s="882"/>
      <c r="W574" s="882"/>
      <c r="X574" s="882"/>
      <c r="Y574" s="882"/>
    </row>
    <row r="575" spans="1:25" x14ac:dyDescent="0.2">
      <c r="A575" s="881"/>
      <c r="B575" s="881"/>
      <c r="C575" s="881"/>
      <c r="D575" s="881"/>
      <c r="E575" s="881"/>
      <c r="R575" s="882"/>
      <c r="S575" s="882"/>
      <c r="T575" s="882"/>
      <c r="U575" s="882"/>
      <c r="V575" s="882"/>
      <c r="W575" s="882"/>
      <c r="X575" s="882"/>
      <c r="Y575" s="882"/>
    </row>
    <row r="576" spans="1:25" x14ac:dyDescent="0.2">
      <c r="A576" s="881"/>
      <c r="B576" s="881"/>
      <c r="C576" s="881"/>
      <c r="D576" s="881"/>
      <c r="E576" s="881"/>
      <c r="R576" s="882"/>
      <c r="S576" s="882"/>
      <c r="T576" s="882"/>
      <c r="U576" s="882"/>
      <c r="V576" s="882"/>
      <c r="W576" s="882"/>
      <c r="X576" s="882"/>
      <c r="Y576" s="882"/>
    </row>
    <row r="577" spans="1:25" x14ac:dyDescent="0.2">
      <c r="A577" s="881"/>
      <c r="B577" s="881"/>
      <c r="C577" s="881"/>
      <c r="D577" s="881"/>
      <c r="E577" s="881"/>
      <c r="R577" s="882"/>
      <c r="S577" s="882"/>
      <c r="T577" s="882"/>
      <c r="U577" s="882"/>
      <c r="V577" s="882"/>
      <c r="W577" s="882"/>
      <c r="X577" s="882"/>
      <c r="Y577" s="882"/>
    </row>
    <row r="578" spans="1:25" x14ac:dyDescent="0.2">
      <c r="A578" s="881"/>
      <c r="B578" s="881"/>
      <c r="C578" s="881"/>
      <c r="D578" s="881"/>
      <c r="E578" s="881"/>
      <c r="R578" s="882"/>
      <c r="S578" s="882"/>
      <c r="T578" s="882"/>
      <c r="U578" s="882"/>
      <c r="V578" s="882"/>
      <c r="W578" s="882"/>
      <c r="X578" s="882"/>
      <c r="Y578" s="882"/>
    </row>
    <row r="579" spans="1:25" x14ac:dyDescent="0.2">
      <c r="A579" s="881"/>
      <c r="B579" s="881"/>
      <c r="C579" s="881"/>
      <c r="D579" s="881"/>
      <c r="E579" s="881"/>
      <c r="R579" s="882"/>
      <c r="S579" s="882"/>
      <c r="T579" s="882"/>
      <c r="U579" s="882"/>
      <c r="V579" s="882"/>
      <c r="W579" s="882"/>
      <c r="X579" s="882"/>
      <c r="Y579" s="882"/>
    </row>
    <row r="580" spans="1:25" x14ac:dyDescent="0.2">
      <c r="A580" s="881"/>
      <c r="B580" s="881"/>
      <c r="C580" s="881"/>
      <c r="D580" s="881"/>
      <c r="E580" s="881"/>
      <c r="R580" s="882"/>
      <c r="S580" s="882"/>
      <c r="T580" s="882"/>
      <c r="U580" s="882"/>
      <c r="V580" s="882"/>
      <c r="W580" s="882"/>
      <c r="X580" s="882"/>
      <c r="Y580" s="882"/>
    </row>
    <row r="581" spans="1:25" x14ac:dyDescent="0.2">
      <c r="A581" s="881"/>
      <c r="B581" s="881"/>
      <c r="C581" s="881"/>
      <c r="D581" s="881"/>
      <c r="E581" s="881"/>
      <c r="R581" s="882"/>
      <c r="S581" s="882"/>
      <c r="T581" s="882"/>
      <c r="U581" s="882"/>
      <c r="V581" s="882"/>
      <c r="W581" s="882"/>
      <c r="X581" s="882"/>
      <c r="Y581" s="882"/>
    </row>
    <row r="582" spans="1:25" x14ac:dyDescent="0.2">
      <c r="A582" s="881"/>
      <c r="B582" s="881"/>
      <c r="C582" s="881"/>
      <c r="D582" s="881"/>
      <c r="E582" s="881"/>
      <c r="R582" s="882"/>
      <c r="S582" s="882"/>
      <c r="T582" s="882"/>
      <c r="U582" s="882"/>
      <c r="V582" s="882"/>
      <c r="W582" s="882"/>
      <c r="X582" s="882"/>
      <c r="Y582" s="882"/>
    </row>
    <row r="583" spans="1:25" x14ac:dyDescent="0.2">
      <c r="A583" s="881"/>
      <c r="B583" s="881"/>
      <c r="C583" s="881"/>
      <c r="D583" s="881"/>
      <c r="E583" s="881"/>
      <c r="R583" s="882"/>
      <c r="S583" s="882"/>
      <c r="T583" s="882"/>
      <c r="U583" s="882"/>
      <c r="V583" s="882"/>
      <c r="W583" s="882"/>
      <c r="X583" s="882"/>
      <c r="Y583" s="882"/>
    </row>
    <row r="584" spans="1:25" x14ac:dyDescent="0.2">
      <c r="A584" s="881"/>
      <c r="B584" s="881"/>
      <c r="C584" s="881"/>
      <c r="D584" s="881"/>
      <c r="E584" s="881"/>
      <c r="R584" s="882"/>
      <c r="S584" s="882"/>
      <c r="T584" s="882"/>
      <c r="U584" s="882"/>
      <c r="V584" s="882"/>
      <c r="W584" s="882"/>
      <c r="X584" s="882"/>
      <c r="Y584" s="882"/>
    </row>
    <row r="585" spans="1:25" x14ac:dyDescent="0.2">
      <c r="A585" s="881"/>
      <c r="B585" s="881"/>
      <c r="C585" s="881"/>
      <c r="D585" s="881"/>
      <c r="E585" s="881"/>
      <c r="R585" s="882"/>
      <c r="S585" s="882"/>
      <c r="T585" s="882"/>
      <c r="U585" s="882"/>
      <c r="V585" s="882"/>
      <c r="W585" s="882"/>
      <c r="X585" s="882"/>
      <c r="Y585" s="882"/>
    </row>
    <row r="586" spans="1:25" x14ac:dyDescent="0.2">
      <c r="A586" s="881"/>
      <c r="B586" s="881"/>
      <c r="C586" s="881"/>
      <c r="D586" s="881"/>
      <c r="E586" s="881"/>
      <c r="R586" s="882"/>
      <c r="S586" s="882"/>
      <c r="T586" s="882"/>
      <c r="U586" s="882"/>
      <c r="V586" s="882"/>
      <c r="W586" s="882"/>
      <c r="X586" s="882"/>
      <c r="Y586" s="882"/>
    </row>
    <row r="587" spans="1:25" x14ac:dyDescent="0.2">
      <c r="A587" s="881"/>
      <c r="B587" s="881"/>
      <c r="C587" s="881"/>
      <c r="D587" s="881"/>
      <c r="E587" s="881"/>
      <c r="R587" s="882"/>
      <c r="S587" s="882"/>
      <c r="T587" s="882"/>
      <c r="U587" s="882"/>
      <c r="V587" s="882"/>
      <c r="W587" s="882"/>
      <c r="X587" s="882"/>
      <c r="Y587" s="882"/>
    </row>
    <row r="588" spans="1:25" x14ac:dyDescent="0.2">
      <c r="A588" s="881"/>
      <c r="B588" s="881"/>
      <c r="C588" s="881"/>
      <c r="D588" s="881"/>
      <c r="E588" s="881"/>
      <c r="R588" s="882"/>
      <c r="S588" s="882"/>
      <c r="T588" s="882"/>
      <c r="U588" s="882"/>
      <c r="V588" s="882"/>
      <c r="W588" s="882"/>
      <c r="X588" s="882"/>
      <c r="Y588" s="882"/>
    </row>
    <row r="589" spans="1:25" x14ac:dyDescent="0.2">
      <c r="A589" s="881"/>
      <c r="B589" s="881"/>
      <c r="C589" s="881"/>
      <c r="D589" s="881"/>
      <c r="E589" s="881"/>
      <c r="R589" s="882"/>
      <c r="S589" s="882"/>
      <c r="T589" s="882"/>
      <c r="U589" s="882"/>
      <c r="V589" s="882"/>
      <c r="W589" s="882"/>
      <c r="X589" s="882"/>
      <c r="Y589" s="882"/>
    </row>
    <row r="590" spans="1:25" x14ac:dyDescent="0.2">
      <c r="A590" s="881"/>
      <c r="B590" s="881"/>
      <c r="C590" s="881"/>
      <c r="D590" s="881"/>
      <c r="E590" s="881"/>
      <c r="R590" s="882"/>
      <c r="S590" s="882"/>
      <c r="T590" s="882"/>
      <c r="U590" s="882"/>
      <c r="V590" s="882"/>
      <c r="W590" s="882"/>
      <c r="X590" s="882"/>
      <c r="Y590" s="882"/>
    </row>
    <row r="591" spans="1:25" x14ac:dyDescent="0.2">
      <c r="A591" s="881"/>
      <c r="B591" s="881"/>
      <c r="C591" s="881"/>
      <c r="D591" s="881"/>
      <c r="E591" s="881"/>
      <c r="R591" s="882"/>
      <c r="S591" s="882"/>
      <c r="T591" s="882"/>
      <c r="U591" s="882"/>
      <c r="V591" s="882"/>
      <c r="W591" s="882"/>
      <c r="X591" s="882"/>
      <c r="Y591" s="882"/>
    </row>
    <row r="592" spans="1:25" x14ac:dyDescent="0.2">
      <c r="A592" s="881"/>
      <c r="B592" s="881"/>
      <c r="C592" s="881"/>
      <c r="D592" s="881"/>
      <c r="E592" s="881"/>
      <c r="R592" s="882"/>
      <c r="S592" s="882"/>
      <c r="T592" s="882"/>
      <c r="U592" s="882"/>
      <c r="V592" s="882"/>
      <c r="W592" s="882"/>
      <c r="X592" s="882"/>
      <c r="Y592" s="882"/>
    </row>
    <row r="593" spans="1:25" x14ac:dyDescent="0.2">
      <c r="A593" s="881"/>
      <c r="B593" s="881"/>
      <c r="C593" s="881"/>
      <c r="D593" s="881"/>
      <c r="E593" s="881"/>
      <c r="R593" s="882"/>
      <c r="S593" s="882"/>
      <c r="T593" s="882"/>
      <c r="U593" s="882"/>
      <c r="V593" s="882"/>
      <c r="W593" s="882"/>
      <c r="X593" s="882"/>
      <c r="Y593" s="882"/>
    </row>
    <row r="594" spans="1:25" x14ac:dyDescent="0.2">
      <c r="A594" s="881"/>
      <c r="B594" s="881"/>
      <c r="C594" s="881"/>
      <c r="D594" s="881"/>
      <c r="E594" s="881"/>
      <c r="R594" s="882"/>
      <c r="S594" s="882"/>
      <c r="T594" s="882"/>
      <c r="U594" s="882"/>
      <c r="V594" s="882"/>
      <c r="W594" s="882"/>
      <c r="X594" s="882"/>
      <c r="Y594" s="882"/>
    </row>
    <row r="595" spans="1:25" x14ac:dyDescent="0.2">
      <c r="A595" s="881"/>
      <c r="B595" s="881"/>
      <c r="C595" s="881"/>
      <c r="D595" s="881"/>
      <c r="E595" s="881"/>
      <c r="R595" s="882"/>
      <c r="S595" s="882"/>
      <c r="T595" s="882"/>
      <c r="U595" s="882"/>
      <c r="V595" s="882"/>
      <c r="W595" s="882"/>
      <c r="X595" s="882"/>
      <c r="Y595" s="882"/>
    </row>
    <row r="596" spans="1:25" x14ac:dyDescent="0.2">
      <c r="A596" s="881"/>
      <c r="B596" s="881"/>
      <c r="C596" s="881"/>
      <c r="D596" s="881"/>
      <c r="E596" s="881"/>
      <c r="R596" s="882"/>
      <c r="S596" s="882"/>
      <c r="T596" s="882"/>
      <c r="U596" s="882"/>
      <c r="V596" s="882"/>
      <c r="W596" s="882"/>
      <c r="X596" s="882"/>
      <c r="Y596" s="882"/>
    </row>
    <row r="597" spans="1:25" x14ac:dyDescent="0.2">
      <c r="A597" s="881"/>
      <c r="B597" s="881"/>
      <c r="C597" s="881"/>
      <c r="D597" s="881"/>
      <c r="E597" s="881"/>
      <c r="R597" s="882"/>
      <c r="S597" s="882"/>
      <c r="T597" s="882"/>
      <c r="U597" s="882"/>
      <c r="V597" s="882"/>
      <c r="W597" s="882"/>
      <c r="X597" s="882"/>
      <c r="Y597" s="882"/>
    </row>
    <row r="598" spans="1:25" x14ac:dyDescent="0.2">
      <c r="A598" s="881"/>
      <c r="B598" s="881"/>
      <c r="C598" s="881"/>
      <c r="D598" s="881"/>
      <c r="E598" s="881"/>
      <c r="R598" s="882"/>
      <c r="S598" s="882"/>
      <c r="T598" s="882"/>
      <c r="U598" s="882"/>
      <c r="V598" s="882"/>
      <c r="W598" s="882"/>
      <c r="X598" s="882"/>
      <c r="Y598" s="882"/>
    </row>
    <row r="599" spans="1:25" x14ac:dyDescent="0.2">
      <c r="A599" s="881"/>
      <c r="B599" s="881"/>
      <c r="C599" s="881"/>
      <c r="D599" s="881"/>
      <c r="E599" s="881"/>
      <c r="R599" s="882"/>
      <c r="S599" s="882"/>
      <c r="T599" s="882"/>
      <c r="U599" s="882"/>
      <c r="V599" s="882"/>
      <c r="W599" s="882"/>
      <c r="X599" s="882"/>
      <c r="Y599" s="882"/>
    </row>
    <row r="600" spans="1:25" x14ac:dyDescent="0.2">
      <c r="A600" s="881"/>
      <c r="B600" s="881"/>
      <c r="C600" s="881"/>
      <c r="D600" s="881"/>
      <c r="E600" s="881"/>
      <c r="R600" s="882"/>
      <c r="S600" s="882"/>
      <c r="T600" s="882"/>
      <c r="U600" s="882"/>
      <c r="V600" s="882"/>
      <c r="W600" s="882"/>
      <c r="X600" s="882"/>
      <c r="Y600" s="882"/>
    </row>
    <row r="601" spans="1:25" x14ac:dyDescent="0.2">
      <c r="A601" s="881"/>
      <c r="B601" s="881"/>
      <c r="C601" s="881"/>
      <c r="D601" s="881"/>
      <c r="E601" s="881"/>
      <c r="R601" s="882"/>
      <c r="S601" s="882"/>
      <c r="T601" s="882"/>
      <c r="U601" s="882"/>
      <c r="V601" s="882"/>
      <c r="W601" s="882"/>
      <c r="X601" s="882"/>
      <c r="Y601" s="882"/>
    </row>
    <row r="602" spans="1:25" x14ac:dyDescent="0.2">
      <c r="A602" s="881"/>
      <c r="B602" s="881"/>
      <c r="C602" s="881"/>
      <c r="D602" s="881"/>
      <c r="E602" s="881"/>
      <c r="R602" s="882"/>
      <c r="S602" s="882"/>
      <c r="T602" s="882"/>
      <c r="U602" s="882"/>
      <c r="V602" s="882"/>
      <c r="W602" s="882"/>
      <c r="X602" s="882"/>
      <c r="Y602" s="882"/>
    </row>
    <row r="603" spans="1:25" x14ac:dyDescent="0.2">
      <c r="A603" s="881"/>
      <c r="B603" s="881"/>
      <c r="C603" s="881"/>
      <c r="D603" s="881"/>
      <c r="E603" s="881"/>
      <c r="R603" s="882"/>
      <c r="S603" s="882"/>
      <c r="T603" s="882"/>
      <c r="U603" s="882"/>
      <c r="V603" s="882"/>
      <c r="W603" s="882"/>
      <c r="X603" s="882"/>
      <c r="Y603" s="882"/>
    </row>
    <row r="604" spans="1:25" x14ac:dyDescent="0.2">
      <c r="A604" s="881"/>
      <c r="B604" s="881"/>
      <c r="C604" s="881"/>
      <c r="D604" s="881"/>
      <c r="E604" s="881"/>
      <c r="R604" s="882"/>
      <c r="S604" s="882"/>
      <c r="T604" s="882"/>
      <c r="U604" s="882"/>
      <c r="V604" s="882"/>
      <c r="W604" s="882"/>
      <c r="X604" s="882"/>
      <c r="Y604" s="882"/>
    </row>
    <row r="605" spans="1:25" x14ac:dyDescent="0.2">
      <c r="A605" s="881"/>
      <c r="B605" s="881"/>
      <c r="C605" s="881"/>
      <c r="D605" s="881"/>
      <c r="E605" s="881"/>
      <c r="R605" s="882"/>
      <c r="S605" s="882"/>
      <c r="T605" s="882"/>
      <c r="U605" s="882"/>
      <c r="V605" s="882"/>
      <c r="W605" s="882"/>
      <c r="X605" s="882"/>
      <c r="Y605" s="882"/>
    </row>
    <row r="606" spans="1:25" x14ac:dyDescent="0.2">
      <c r="A606" s="881"/>
      <c r="B606" s="881"/>
      <c r="C606" s="881"/>
      <c r="D606" s="881"/>
      <c r="E606" s="881"/>
      <c r="R606" s="882"/>
      <c r="S606" s="882"/>
      <c r="T606" s="882"/>
      <c r="U606" s="882"/>
      <c r="V606" s="882"/>
      <c r="W606" s="882"/>
      <c r="X606" s="882"/>
      <c r="Y606" s="882"/>
    </row>
    <row r="607" spans="1:25" x14ac:dyDescent="0.2">
      <c r="A607" s="881"/>
      <c r="B607" s="881"/>
      <c r="C607" s="881"/>
      <c r="D607" s="881"/>
      <c r="E607" s="881"/>
      <c r="R607" s="882"/>
      <c r="S607" s="882"/>
      <c r="T607" s="882"/>
      <c r="U607" s="882"/>
      <c r="V607" s="882"/>
      <c r="W607" s="882"/>
      <c r="X607" s="882"/>
      <c r="Y607" s="882"/>
    </row>
    <row r="608" spans="1:25" x14ac:dyDescent="0.2">
      <c r="A608" s="881"/>
      <c r="B608" s="881"/>
      <c r="C608" s="881"/>
      <c r="D608" s="881"/>
      <c r="E608" s="881"/>
      <c r="R608" s="882"/>
      <c r="S608" s="882"/>
      <c r="T608" s="882"/>
      <c r="U608" s="882"/>
      <c r="V608" s="882"/>
      <c r="W608" s="882"/>
      <c r="X608" s="882"/>
      <c r="Y608" s="882"/>
    </row>
    <row r="609" spans="1:25" x14ac:dyDescent="0.2">
      <c r="A609" s="881"/>
      <c r="B609" s="881"/>
      <c r="C609" s="881"/>
      <c r="D609" s="881"/>
      <c r="E609" s="881"/>
      <c r="R609" s="882"/>
      <c r="S609" s="882"/>
      <c r="T609" s="882"/>
      <c r="U609" s="882"/>
      <c r="V609" s="882"/>
      <c r="W609" s="882"/>
      <c r="X609" s="882"/>
      <c r="Y609" s="882"/>
    </row>
    <row r="610" spans="1:25" x14ac:dyDescent="0.2">
      <c r="A610" s="881"/>
      <c r="B610" s="881"/>
      <c r="C610" s="881"/>
      <c r="D610" s="881"/>
      <c r="E610" s="881"/>
      <c r="R610" s="882"/>
      <c r="S610" s="882"/>
      <c r="T610" s="882"/>
      <c r="U610" s="882"/>
      <c r="V610" s="882"/>
      <c r="W610" s="882"/>
      <c r="X610" s="882"/>
      <c r="Y610" s="882"/>
    </row>
    <row r="611" spans="1:25" x14ac:dyDescent="0.2">
      <c r="A611" s="881"/>
      <c r="B611" s="881"/>
      <c r="C611" s="881"/>
      <c r="D611" s="881"/>
      <c r="E611" s="881"/>
      <c r="R611" s="882"/>
      <c r="S611" s="882"/>
      <c r="T611" s="882"/>
      <c r="U611" s="882"/>
      <c r="V611" s="882"/>
      <c r="W611" s="882"/>
      <c r="X611" s="882"/>
      <c r="Y611" s="882"/>
    </row>
    <row r="612" spans="1:25" x14ac:dyDescent="0.2">
      <c r="A612" s="881"/>
      <c r="B612" s="881"/>
      <c r="C612" s="881"/>
      <c r="D612" s="881"/>
      <c r="E612" s="881"/>
      <c r="R612" s="882"/>
      <c r="S612" s="882"/>
      <c r="T612" s="882"/>
      <c r="U612" s="882"/>
      <c r="V612" s="882"/>
      <c r="W612" s="882"/>
      <c r="X612" s="882"/>
      <c r="Y612" s="882"/>
    </row>
    <row r="613" spans="1:25" x14ac:dyDescent="0.2">
      <c r="A613" s="881"/>
      <c r="B613" s="881"/>
      <c r="C613" s="881"/>
      <c r="D613" s="881"/>
      <c r="E613" s="881"/>
      <c r="R613" s="882"/>
      <c r="S613" s="882"/>
      <c r="T613" s="882"/>
      <c r="U613" s="882"/>
      <c r="V613" s="882"/>
      <c r="W613" s="882"/>
      <c r="X613" s="882"/>
      <c r="Y613" s="882"/>
    </row>
    <row r="614" spans="1:25" x14ac:dyDescent="0.2">
      <c r="A614" s="881"/>
      <c r="B614" s="881"/>
      <c r="C614" s="881"/>
      <c r="D614" s="881"/>
      <c r="E614" s="881"/>
      <c r="R614" s="882"/>
      <c r="S614" s="882"/>
      <c r="T614" s="882"/>
      <c r="U614" s="882"/>
      <c r="V614" s="882"/>
      <c r="W614" s="882"/>
      <c r="X614" s="882"/>
      <c r="Y614" s="882"/>
    </row>
    <row r="615" spans="1:25" x14ac:dyDescent="0.2">
      <c r="A615" s="881"/>
      <c r="B615" s="881"/>
      <c r="C615" s="881"/>
      <c r="D615" s="881"/>
      <c r="E615" s="881"/>
      <c r="R615" s="882"/>
      <c r="S615" s="882"/>
      <c r="T615" s="882"/>
      <c r="U615" s="882"/>
      <c r="V615" s="882"/>
      <c r="W615" s="882"/>
      <c r="X615" s="882"/>
      <c r="Y615" s="882"/>
    </row>
    <row r="616" spans="1:25" x14ac:dyDescent="0.2">
      <c r="A616" s="881"/>
      <c r="B616" s="881"/>
      <c r="C616" s="881"/>
      <c r="D616" s="881"/>
      <c r="E616" s="881"/>
      <c r="R616" s="882"/>
      <c r="S616" s="882"/>
      <c r="T616" s="882"/>
      <c r="U616" s="882"/>
      <c r="V616" s="882"/>
      <c r="W616" s="882"/>
      <c r="X616" s="882"/>
      <c r="Y616" s="882"/>
    </row>
    <row r="617" spans="1:25" x14ac:dyDescent="0.2">
      <c r="A617" s="881"/>
      <c r="B617" s="881"/>
      <c r="C617" s="881"/>
      <c r="D617" s="881"/>
      <c r="E617" s="881"/>
      <c r="R617" s="882"/>
      <c r="S617" s="882"/>
      <c r="T617" s="882"/>
      <c r="U617" s="882"/>
      <c r="V617" s="882"/>
      <c r="W617" s="882"/>
      <c r="X617" s="882"/>
      <c r="Y617" s="882"/>
    </row>
    <row r="618" spans="1:25" x14ac:dyDescent="0.2">
      <c r="A618" s="881"/>
      <c r="B618" s="881"/>
      <c r="C618" s="881"/>
      <c r="D618" s="881"/>
      <c r="E618" s="881"/>
      <c r="R618" s="882"/>
      <c r="S618" s="882"/>
      <c r="T618" s="882"/>
      <c r="U618" s="882"/>
      <c r="V618" s="882"/>
      <c r="W618" s="882"/>
      <c r="X618" s="882"/>
      <c r="Y618" s="882"/>
    </row>
    <row r="619" spans="1:25" x14ac:dyDescent="0.2">
      <c r="A619" s="881"/>
      <c r="B619" s="881"/>
      <c r="C619" s="881"/>
      <c r="D619" s="881"/>
      <c r="E619" s="881"/>
      <c r="R619" s="882"/>
      <c r="S619" s="882"/>
      <c r="T619" s="882"/>
      <c r="U619" s="882"/>
      <c r="V619" s="882"/>
      <c r="W619" s="882"/>
      <c r="X619" s="882"/>
      <c r="Y619" s="882"/>
    </row>
    <row r="620" spans="1:25" x14ac:dyDescent="0.2">
      <c r="A620" s="881"/>
      <c r="B620" s="881"/>
      <c r="C620" s="881"/>
      <c r="D620" s="881"/>
      <c r="E620" s="881"/>
      <c r="R620" s="882"/>
      <c r="S620" s="882"/>
      <c r="T620" s="882"/>
      <c r="U620" s="882"/>
      <c r="V620" s="882"/>
      <c r="W620" s="882"/>
      <c r="X620" s="882"/>
      <c r="Y620" s="882"/>
    </row>
    <row r="621" spans="1:25" x14ac:dyDescent="0.2">
      <c r="A621" s="881"/>
      <c r="B621" s="881"/>
      <c r="C621" s="881"/>
      <c r="D621" s="881"/>
      <c r="E621" s="881"/>
      <c r="R621" s="882"/>
      <c r="S621" s="882"/>
      <c r="T621" s="882"/>
      <c r="U621" s="882"/>
      <c r="V621" s="882"/>
      <c r="W621" s="882"/>
      <c r="X621" s="882"/>
      <c r="Y621" s="882"/>
    </row>
    <row r="622" spans="1:25" x14ac:dyDescent="0.2">
      <c r="A622" s="881"/>
      <c r="B622" s="881"/>
      <c r="C622" s="881"/>
      <c r="D622" s="881"/>
      <c r="E622" s="881"/>
      <c r="R622" s="882"/>
      <c r="S622" s="882"/>
      <c r="T622" s="882"/>
      <c r="U622" s="882"/>
      <c r="V622" s="882"/>
      <c r="W622" s="882"/>
      <c r="X622" s="882"/>
      <c r="Y622" s="882"/>
    </row>
    <row r="623" spans="1:25" x14ac:dyDescent="0.2">
      <c r="A623" s="881"/>
      <c r="B623" s="881"/>
      <c r="C623" s="881"/>
      <c r="D623" s="881"/>
      <c r="E623" s="881"/>
      <c r="R623" s="882"/>
      <c r="S623" s="882"/>
      <c r="T623" s="882"/>
      <c r="U623" s="882"/>
      <c r="V623" s="882"/>
      <c r="W623" s="882"/>
      <c r="X623" s="882"/>
      <c r="Y623" s="882"/>
    </row>
    <row r="624" spans="1:25" x14ac:dyDescent="0.2">
      <c r="A624" s="881"/>
      <c r="B624" s="881"/>
      <c r="C624" s="881"/>
      <c r="D624" s="881"/>
      <c r="E624" s="881"/>
      <c r="R624" s="882"/>
      <c r="S624" s="882"/>
      <c r="T624" s="882"/>
      <c r="U624" s="882"/>
      <c r="V624" s="882"/>
      <c r="W624" s="882"/>
      <c r="X624" s="882"/>
      <c r="Y624" s="882"/>
    </row>
    <row r="625" spans="1:25" x14ac:dyDescent="0.2">
      <c r="A625" s="881"/>
      <c r="B625" s="881"/>
      <c r="C625" s="881"/>
      <c r="D625" s="881"/>
      <c r="E625" s="881"/>
      <c r="R625" s="882"/>
      <c r="S625" s="882"/>
      <c r="T625" s="882"/>
      <c r="U625" s="882"/>
      <c r="V625" s="882"/>
      <c r="W625" s="882"/>
      <c r="X625" s="882"/>
      <c r="Y625" s="882"/>
    </row>
    <row r="626" spans="1:25" x14ac:dyDescent="0.2">
      <c r="A626" s="881"/>
      <c r="B626" s="881"/>
      <c r="C626" s="881"/>
      <c r="D626" s="881"/>
      <c r="E626" s="881"/>
      <c r="R626" s="882"/>
      <c r="S626" s="882"/>
      <c r="T626" s="882"/>
      <c r="U626" s="882"/>
      <c r="V626" s="882"/>
      <c r="W626" s="882"/>
      <c r="X626" s="882"/>
      <c r="Y626" s="882"/>
    </row>
    <row r="627" spans="1:25" x14ac:dyDescent="0.2">
      <c r="A627" s="881"/>
      <c r="B627" s="881"/>
      <c r="C627" s="881"/>
      <c r="D627" s="881"/>
      <c r="E627" s="881"/>
      <c r="R627" s="882"/>
      <c r="S627" s="882"/>
      <c r="T627" s="882"/>
      <c r="U627" s="882"/>
      <c r="V627" s="882"/>
      <c r="W627" s="882"/>
      <c r="X627" s="882"/>
      <c r="Y627" s="882"/>
    </row>
    <row r="628" spans="1:25" x14ac:dyDescent="0.2">
      <c r="A628" s="881"/>
      <c r="B628" s="881"/>
      <c r="C628" s="881"/>
      <c r="D628" s="881"/>
      <c r="E628" s="881"/>
      <c r="R628" s="882"/>
      <c r="S628" s="882"/>
      <c r="T628" s="882"/>
      <c r="U628" s="882"/>
      <c r="V628" s="882"/>
      <c r="W628" s="882"/>
      <c r="X628" s="882"/>
      <c r="Y628" s="882"/>
    </row>
    <row r="629" spans="1:25" x14ac:dyDescent="0.2">
      <c r="A629" s="881"/>
      <c r="B629" s="881"/>
      <c r="C629" s="881"/>
      <c r="D629" s="881"/>
      <c r="E629" s="881"/>
      <c r="R629" s="882"/>
      <c r="S629" s="882"/>
      <c r="T629" s="882"/>
      <c r="U629" s="882"/>
      <c r="V629" s="882"/>
      <c r="W629" s="882"/>
      <c r="X629" s="882"/>
      <c r="Y629" s="882"/>
    </row>
    <row r="630" spans="1:25" x14ac:dyDescent="0.2">
      <c r="A630" s="881"/>
      <c r="B630" s="881"/>
      <c r="C630" s="881"/>
      <c r="D630" s="881"/>
      <c r="E630" s="881"/>
      <c r="R630" s="882"/>
      <c r="S630" s="882"/>
      <c r="T630" s="882"/>
      <c r="U630" s="882"/>
      <c r="V630" s="882"/>
      <c r="W630" s="882"/>
      <c r="X630" s="882"/>
      <c r="Y630" s="882"/>
    </row>
    <row r="631" spans="1:25" x14ac:dyDescent="0.2">
      <c r="A631" s="881"/>
      <c r="B631" s="881"/>
      <c r="C631" s="881"/>
      <c r="D631" s="881"/>
      <c r="E631" s="881"/>
      <c r="R631" s="882"/>
      <c r="S631" s="882"/>
      <c r="T631" s="882"/>
      <c r="U631" s="882"/>
      <c r="V631" s="882"/>
      <c r="W631" s="882"/>
      <c r="X631" s="882"/>
      <c r="Y631" s="882"/>
    </row>
    <row r="632" spans="1:25" x14ac:dyDescent="0.2">
      <c r="A632" s="881"/>
      <c r="B632" s="881"/>
      <c r="C632" s="881"/>
      <c r="D632" s="881"/>
      <c r="E632" s="881"/>
      <c r="R632" s="882"/>
      <c r="S632" s="882"/>
      <c r="T632" s="882"/>
      <c r="U632" s="882"/>
      <c r="V632" s="882"/>
      <c r="W632" s="882"/>
      <c r="X632" s="882"/>
      <c r="Y632" s="882"/>
    </row>
    <row r="633" spans="1:25" x14ac:dyDescent="0.2">
      <c r="A633" s="881"/>
      <c r="B633" s="881"/>
      <c r="C633" s="881"/>
      <c r="D633" s="881"/>
      <c r="E633" s="881"/>
      <c r="R633" s="882"/>
      <c r="S633" s="882"/>
      <c r="T633" s="882"/>
      <c r="U633" s="882"/>
      <c r="V633" s="882"/>
      <c r="W633" s="882"/>
      <c r="X633" s="882"/>
      <c r="Y633" s="882"/>
    </row>
    <row r="634" spans="1:25" x14ac:dyDescent="0.2">
      <c r="A634" s="881"/>
      <c r="B634" s="881"/>
      <c r="C634" s="881"/>
      <c r="D634" s="881"/>
      <c r="E634" s="881"/>
      <c r="R634" s="882"/>
      <c r="S634" s="882"/>
      <c r="T634" s="882"/>
      <c r="U634" s="882"/>
      <c r="V634" s="882"/>
      <c r="W634" s="882"/>
      <c r="X634" s="882"/>
      <c r="Y634" s="882"/>
    </row>
    <row r="635" spans="1:25" x14ac:dyDescent="0.2">
      <c r="A635" s="881"/>
      <c r="B635" s="881"/>
      <c r="C635" s="881"/>
      <c r="D635" s="881"/>
      <c r="E635" s="881"/>
      <c r="R635" s="882"/>
      <c r="S635" s="882"/>
      <c r="T635" s="882"/>
      <c r="U635" s="882"/>
      <c r="V635" s="882"/>
      <c r="W635" s="882"/>
      <c r="X635" s="882"/>
      <c r="Y635" s="882"/>
    </row>
    <row r="636" spans="1:25" x14ac:dyDescent="0.2">
      <c r="A636" s="881"/>
      <c r="B636" s="881"/>
      <c r="C636" s="881"/>
      <c r="D636" s="881"/>
      <c r="E636" s="881"/>
      <c r="R636" s="882"/>
      <c r="S636" s="882"/>
      <c r="T636" s="882"/>
      <c r="U636" s="882"/>
      <c r="V636" s="882"/>
      <c r="W636" s="882"/>
      <c r="X636" s="882"/>
      <c r="Y636" s="882"/>
    </row>
    <row r="637" spans="1:25" x14ac:dyDescent="0.2">
      <c r="A637" s="881"/>
      <c r="B637" s="881"/>
      <c r="C637" s="881"/>
      <c r="D637" s="881"/>
      <c r="E637" s="881"/>
      <c r="R637" s="882"/>
      <c r="S637" s="882"/>
      <c r="T637" s="882"/>
      <c r="U637" s="882"/>
      <c r="V637" s="882"/>
      <c r="W637" s="882"/>
      <c r="X637" s="882"/>
      <c r="Y637" s="882"/>
    </row>
    <row r="638" spans="1:25" x14ac:dyDescent="0.2">
      <c r="A638" s="881"/>
      <c r="B638" s="881"/>
      <c r="C638" s="881"/>
      <c r="D638" s="881"/>
      <c r="E638" s="881"/>
      <c r="R638" s="882"/>
      <c r="S638" s="882"/>
      <c r="T638" s="882"/>
      <c r="U638" s="882"/>
      <c r="V638" s="882"/>
      <c r="W638" s="882"/>
      <c r="X638" s="882"/>
      <c r="Y638" s="882"/>
    </row>
    <row r="639" spans="1:25" x14ac:dyDescent="0.2">
      <c r="A639" s="881"/>
      <c r="B639" s="881"/>
      <c r="C639" s="881"/>
      <c r="D639" s="881"/>
      <c r="E639" s="881"/>
      <c r="R639" s="882"/>
      <c r="S639" s="882"/>
      <c r="T639" s="882"/>
      <c r="U639" s="882"/>
      <c r="V639" s="882"/>
      <c r="W639" s="882"/>
      <c r="X639" s="882"/>
      <c r="Y639" s="882"/>
    </row>
    <row r="640" spans="1:25" x14ac:dyDescent="0.2">
      <c r="A640" s="881"/>
      <c r="B640" s="881"/>
      <c r="C640" s="881"/>
      <c r="D640" s="881"/>
      <c r="E640" s="881"/>
      <c r="R640" s="882"/>
      <c r="S640" s="882"/>
      <c r="T640" s="882"/>
      <c r="U640" s="882"/>
      <c r="V640" s="882"/>
      <c r="W640" s="882"/>
      <c r="X640" s="882"/>
      <c r="Y640" s="882"/>
    </row>
    <row r="641" spans="1:25" x14ac:dyDescent="0.2">
      <c r="A641" s="881"/>
      <c r="B641" s="881"/>
      <c r="C641" s="881"/>
      <c r="D641" s="881"/>
      <c r="E641" s="881"/>
      <c r="R641" s="882"/>
      <c r="S641" s="882"/>
      <c r="T641" s="882"/>
      <c r="U641" s="882"/>
      <c r="V641" s="882"/>
      <c r="W641" s="882"/>
      <c r="X641" s="882"/>
      <c r="Y641" s="882"/>
    </row>
    <row r="642" spans="1:25" x14ac:dyDescent="0.2">
      <c r="A642" s="881"/>
      <c r="B642" s="881"/>
      <c r="C642" s="881"/>
      <c r="D642" s="881"/>
      <c r="E642" s="881"/>
      <c r="R642" s="882"/>
      <c r="S642" s="882"/>
      <c r="T642" s="882"/>
      <c r="U642" s="882"/>
      <c r="V642" s="882"/>
      <c r="W642" s="882"/>
      <c r="X642" s="882"/>
      <c r="Y642" s="882"/>
    </row>
    <row r="643" spans="1:25" x14ac:dyDescent="0.2">
      <c r="A643" s="881"/>
      <c r="B643" s="881"/>
      <c r="C643" s="881"/>
      <c r="D643" s="881"/>
      <c r="E643" s="881"/>
      <c r="R643" s="882"/>
      <c r="S643" s="882"/>
      <c r="T643" s="882"/>
      <c r="U643" s="882"/>
      <c r="V643" s="882"/>
      <c r="W643" s="882"/>
      <c r="X643" s="882"/>
      <c r="Y643" s="882"/>
    </row>
    <row r="644" spans="1:25" x14ac:dyDescent="0.2">
      <c r="A644" s="881"/>
      <c r="B644" s="881"/>
      <c r="C644" s="881"/>
      <c r="D644" s="881"/>
      <c r="E644" s="881"/>
      <c r="R644" s="882"/>
      <c r="S644" s="882"/>
      <c r="T644" s="882"/>
      <c r="U644" s="882"/>
      <c r="V644" s="882"/>
      <c r="W644" s="882"/>
      <c r="X644" s="882"/>
      <c r="Y644" s="882"/>
    </row>
    <row r="645" spans="1:25" x14ac:dyDescent="0.2">
      <c r="A645" s="881"/>
      <c r="B645" s="881"/>
      <c r="C645" s="881"/>
      <c r="D645" s="881"/>
      <c r="E645" s="881"/>
      <c r="R645" s="882"/>
      <c r="S645" s="882"/>
      <c r="T645" s="882"/>
      <c r="U645" s="882"/>
      <c r="V645" s="882"/>
      <c r="W645" s="882"/>
      <c r="X645" s="882"/>
      <c r="Y645" s="882"/>
    </row>
    <row r="646" spans="1:25" x14ac:dyDescent="0.2">
      <c r="A646" s="881"/>
      <c r="B646" s="881"/>
      <c r="C646" s="881"/>
      <c r="D646" s="881"/>
      <c r="E646" s="881"/>
      <c r="R646" s="882"/>
      <c r="S646" s="882"/>
      <c r="T646" s="882"/>
      <c r="U646" s="882"/>
      <c r="V646" s="882"/>
      <c r="W646" s="882"/>
      <c r="X646" s="882"/>
      <c r="Y646" s="882"/>
    </row>
    <row r="647" spans="1:25" x14ac:dyDescent="0.2">
      <c r="A647" s="881"/>
      <c r="B647" s="881"/>
      <c r="C647" s="881"/>
      <c r="D647" s="881"/>
      <c r="E647" s="881"/>
      <c r="R647" s="882"/>
      <c r="S647" s="882"/>
      <c r="T647" s="882"/>
      <c r="U647" s="882"/>
      <c r="V647" s="882"/>
      <c r="W647" s="882"/>
      <c r="X647" s="882"/>
      <c r="Y647" s="882"/>
    </row>
    <row r="648" spans="1:25" x14ac:dyDescent="0.2">
      <c r="A648" s="881"/>
      <c r="B648" s="881"/>
      <c r="C648" s="881"/>
      <c r="D648" s="881"/>
      <c r="E648" s="881"/>
      <c r="R648" s="882"/>
      <c r="S648" s="882"/>
      <c r="T648" s="882"/>
      <c r="U648" s="882"/>
      <c r="V648" s="882"/>
      <c r="W648" s="882"/>
      <c r="X648" s="882"/>
      <c r="Y648" s="882"/>
    </row>
    <row r="649" spans="1:25" x14ac:dyDescent="0.2">
      <c r="A649" s="881"/>
      <c r="B649" s="881"/>
      <c r="C649" s="881"/>
      <c r="D649" s="881"/>
      <c r="E649" s="881"/>
      <c r="R649" s="882"/>
      <c r="S649" s="882"/>
      <c r="T649" s="882"/>
      <c r="U649" s="882"/>
      <c r="V649" s="882"/>
      <c r="W649" s="882"/>
      <c r="X649" s="882"/>
      <c r="Y649" s="882"/>
    </row>
    <row r="650" spans="1:25" x14ac:dyDescent="0.2">
      <c r="A650" s="881"/>
      <c r="B650" s="881"/>
      <c r="C650" s="881"/>
      <c r="D650" s="881"/>
      <c r="E650" s="881"/>
      <c r="R650" s="882"/>
      <c r="S650" s="882"/>
      <c r="T650" s="882"/>
      <c r="U650" s="882"/>
      <c r="V650" s="882"/>
      <c r="W650" s="882"/>
      <c r="X650" s="882"/>
      <c r="Y650" s="882"/>
    </row>
    <row r="651" spans="1:25" x14ac:dyDescent="0.2">
      <c r="A651" s="881"/>
      <c r="B651" s="881"/>
      <c r="C651" s="881"/>
      <c r="D651" s="881"/>
      <c r="E651" s="881"/>
      <c r="R651" s="882"/>
      <c r="S651" s="882"/>
      <c r="T651" s="882"/>
      <c r="U651" s="882"/>
      <c r="V651" s="882"/>
      <c r="W651" s="882"/>
      <c r="X651" s="882"/>
      <c r="Y651" s="882"/>
    </row>
    <row r="652" spans="1:25" x14ac:dyDescent="0.2">
      <c r="A652" s="881"/>
      <c r="B652" s="881"/>
      <c r="C652" s="881"/>
      <c r="D652" s="881"/>
      <c r="E652" s="881"/>
      <c r="R652" s="882"/>
      <c r="S652" s="882"/>
      <c r="T652" s="882"/>
      <c r="U652" s="882"/>
      <c r="V652" s="882"/>
      <c r="W652" s="882"/>
      <c r="X652" s="882"/>
      <c r="Y652" s="882"/>
    </row>
    <row r="653" spans="1:25" x14ac:dyDescent="0.2">
      <c r="A653" s="881"/>
      <c r="B653" s="881"/>
      <c r="C653" s="881"/>
      <c r="D653" s="881"/>
      <c r="E653" s="881"/>
      <c r="R653" s="882"/>
      <c r="S653" s="882"/>
      <c r="T653" s="882"/>
      <c r="U653" s="882"/>
      <c r="V653" s="882"/>
      <c r="W653" s="882"/>
      <c r="X653" s="882"/>
      <c r="Y653" s="882"/>
    </row>
    <row r="654" spans="1:25" x14ac:dyDescent="0.2">
      <c r="A654" s="881"/>
      <c r="B654" s="881"/>
      <c r="C654" s="881"/>
      <c r="D654" s="881"/>
      <c r="E654" s="881"/>
      <c r="R654" s="882"/>
      <c r="S654" s="882"/>
      <c r="T654" s="882"/>
      <c r="U654" s="882"/>
      <c r="V654" s="882"/>
      <c r="W654" s="882"/>
      <c r="X654" s="882"/>
      <c r="Y654" s="882"/>
    </row>
    <row r="655" spans="1:25" x14ac:dyDescent="0.2">
      <c r="A655" s="881"/>
      <c r="B655" s="881"/>
      <c r="C655" s="881"/>
      <c r="D655" s="881"/>
      <c r="E655" s="881"/>
      <c r="R655" s="882"/>
      <c r="S655" s="882"/>
      <c r="T655" s="882"/>
      <c r="U655" s="882"/>
      <c r="V655" s="882"/>
      <c r="W655" s="882"/>
      <c r="X655" s="882"/>
      <c r="Y655" s="882"/>
    </row>
    <row r="656" spans="1:25" x14ac:dyDescent="0.2">
      <c r="A656" s="881"/>
      <c r="B656" s="881"/>
      <c r="C656" s="881"/>
      <c r="D656" s="881"/>
      <c r="E656" s="881"/>
      <c r="R656" s="882"/>
      <c r="S656" s="882"/>
      <c r="T656" s="882"/>
      <c r="U656" s="882"/>
      <c r="V656" s="882"/>
      <c r="W656" s="882"/>
      <c r="X656" s="882"/>
      <c r="Y656" s="882"/>
    </row>
    <row r="657" spans="1:25" x14ac:dyDescent="0.2">
      <c r="A657" s="881"/>
      <c r="B657" s="881"/>
      <c r="C657" s="881"/>
      <c r="D657" s="881"/>
      <c r="E657" s="881"/>
      <c r="R657" s="882"/>
      <c r="S657" s="882"/>
      <c r="T657" s="882"/>
      <c r="U657" s="882"/>
      <c r="V657" s="882"/>
      <c r="W657" s="882"/>
      <c r="X657" s="882"/>
      <c r="Y657" s="882"/>
    </row>
    <row r="658" spans="1:25" x14ac:dyDescent="0.2">
      <c r="A658" s="881"/>
      <c r="B658" s="881"/>
      <c r="C658" s="881"/>
      <c r="D658" s="881"/>
      <c r="E658" s="881"/>
      <c r="R658" s="882"/>
      <c r="S658" s="882"/>
      <c r="T658" s="882"/>
      <c r="U658" s="882"/>
      <c r="V658" s="882"/>
      <c r="W658" s="882"/>
      <c r="X658" s="882"/>
      <c r="Y658" s="882"/>
    </row>
    <row r="659" spans="1:25" x14ac:dyDescent="0.2">
      <c r="A659" s="881"/>
      <c r="B659" s="881"/>
      <c r="C659" s="881"/>
      <c r="D659" s="881"/>
      <c r="E659" s="881"/>
      <c r="R659" s="882"/>
      <c r="S659" s="882"/>
      <c r="T659" s="882"/>
      <c r="U659" s="882"/>
      <c r="V659" s="882"/>
      <c r="W659" s="882"/>
      <c r="X659" s="882"/>
      <c r="Y659" s="882"/>
    </row>
    <row r="660" spans="1:25" x14ac:dyDescent="0.2">
      <c r="A660" s="881"/>
      <c r="B660" s="881"/>
      <c r="C660" s="881"/>
      <c r="D660" s="881"/>
      <c r="E660" s="881"/>
      <c r="R660" s="882"/>
      <c r="S660" s="882"/>
      <c r="T660" s="882"/>
      <c r="U660" s="882"/>
      <c r="V660" s="882"/>
      <c r="W660" s="882"/>
      <c r="X660" s="882"/>
      <c r="Y660" s="882"/>
    </row>
    <row r="661" spans="1:25" x14ac:dyDescent="0.2">
      <c r="A661" s="881"/>
      <c r="B661" s="881"/>
      <c r="C661" s="881"/>
      <c r="D661" s="881"/>
      <c r="E661" s="881"/>
      <c r="R661" s="882"/>
      <c r="S661" s="882"/>
      <c r="T661" s="882"/>
      <c r="U661" s="882"/>
      <c r="V661" s="882"/>
      <c r="W661" s="882"/>
      <c r="X661" s="882"/>
      <c r="Y661" s="882"/>
    </row>
    <row r="662" spans="1:25" x14ac:dyDescent="0.2">
      <c r="A662" s="881"/>
      <c r="B662" s="881"/>
      <c r="C662" s="881"/>
      <c r="D662" s="881"/>
      <c r="E662" s="881"/>
      <c r="R662" s="882"/>
      <c r="S662" s="882"/>
      <c r="T662" s="882"/>
      <c r="U662" s="882"/>
      <c r="V662" s="882"/>
      <c r="W662" s="882"/>
      <c r="X662" s="882"/>
      <c r="Y662" s="882"/>
    </row>
    <row r="663" spans="1:25" x14ac:dyDescent="0.2">
      <c r="A663" s="881"/>
      <c r="B663" s="881"/>
      <c r="C663" s="881"/>
      <c r="D663" s="881"/>
      <c r="E663" s="881"/>
      <c r="R663" s="882"/>
      <c r="S663" s="882"/>
      <c r="T663" s="882"/>
      <c r="U663" s="882"/>
      <c r="V663" s="882"/>
      <c r="W663" s="882"/>
      <c r="X663" s="882"/>
      <c r="Y663" s="882"/>
    </row>
    <row r="664" spans="1:25" x14ac:dyDescent="0.2">
      <c r="A664" s="881"/>
      <c r="B664" s="881"/>
      <c r="C664" s="881"/>
      <c r="D664" s="881"/>
      <c r="E664" s="881"/>
      <c r="R664" s="882"/>
      <c r="S664" s="882"/>
      <c r="T664" s="882"/>
      <c r="U664" s="882"/>
      <c r="V664" s="882"/>
      <c r="W664" s="882"/>
      <c r="X664" s="882"/>
      <c r="Y664" s="882"/>
    </row>
    <row r="665" spans="1:25" x14ac:dyDescent="0.2">
      <c r="A665" s="881"/>
      <c r="B665" s="881"/>
      <c r="C665" s="881"/>
      <c r="D665" s="881"/>
      <c r="E665" s="881"/>
      <c r="R665" s="882"/>
      <c r="S665" s="882"/>
      <c r="T665" s="882"/>
      <c r="U665" s="882"/>
      <c r="V665" s="882"/>
      <c r="W665" s="882"/>
      <c r="X665" s="882"/>
      <c r="Y665" s="882"/>
    </row>
    <row r="666" spans="1:25" x14ac:dyDescent="0.2">
      <c r="A666" s="881"/>
      <c r="B666" s="881"/>
      <c r="C666" s="881"/>
      <c r="D666" s="881"/>
      <c r="E666" s="881"/>
      <c r="R666" s="882"/>
      <c r="S666" s="882"/>
      <c r="T666" s="882"/>
      <c r="U666" s="882"/>
      <c r="V666" s="882"/>
      <c r="W666" s="882"/>
      <c r="X666" s="882"/>
      <c r="Y666" s="882"/>
    </row>
    <row r="667" spans="1:25" x14ac:dyDescent="0.2">
      <c r="A667" s="881"/>
      <c r="B667" s="881"/>
      <c r="C667" s="881"/>
      <c r="D667" s="881"/>
      <c r="E667" s="881"/>
      <c r="R667" s="882"/>
      <c r="S667" s="882"/>
      <c r="T667" s="882"/>
      <c r="U667" s="882"/>
      <c r="V667" s="882"/>
      <c r="W667" s="882"/>
      <c r="X667" s="882"/>
      <c r="Y667" s="882"/>
    </row>
    <row r="668" spans="1:25" x14ac:dyDescent="0.2">
      <c r="A668" s="881"/>
      <c r="B668" s="881"/>
      <c r="C668" s="881"/>
      <c r="D668" s="881"/>
      <c r="E668" s="881"/>
      <c r="R668" s="882"/>
      <c r="S668" s="882"/>
      <c r="T668" s="882"/>
      <c r="U668" s="882"/>
      <c r="V668" s="882"/>
      <c r="W668" s="882"/>
      <c r="X668" s="882"/>
      <c r="Y668" s="882"/>
    </row>
    <row r="669" spans="1:25" x14ac:dyDescent="0.2">
      <c r="A669" s="881"/>
      <c r="B669" s="881"/>
      <c r="C669" s="881"/>
      <c r="D669" s="881"/>
      <c r="E669" s="881"/>
      <c r="R669" s="882"/>
      <c r="S669" s="882"/>
      <c r="T669" s="882"/>
      <c r="U669" s="882"/>
      <c r="V669" s="882"/>
      <c r="W669" s="882"/>
      <c r="X669" s="882"/>
      <c r="Y669" s="882"/>
    </row>
    <row r="670" spans="1:25" x14ac:dyDescent="0.2">
      <c r="A670" s="881"/>
      <c r="B670" s="881"/>
      <c r="C670" s="881"/>
      <c r="D670" s="881"/>
      <c r="E670" s="881"/>
      <c r="R670" s="882"/>
      <c r="S670" s="882"/>
      <c r="T670" s="882"/>
      <c r="U670" s="882"/>
      <c r="V670" s="882"/>
      <c r="W670" s="882"/>
      <c r="X670" s="882"/>
      <c r="Y670" s="882"/>
    </row>
    <row r="671" spans="1:25" x14ac:dyDescent="0.2">
      <c r="A671" s="881"/>
      <c r="B671" s="881"/>
      <c r="C671" s="881"/>
      <c r="D671" s="881"/>
      <c r="E671" s="881"/>
      <c r="R671" s="882"/>
      <c r="S671" s="882"/>
      <c r="T671" s="882"/>
      <c r="U671" s="882"/>
      <c r="V671" s="882"/>
      <c r="W671" s="882"/>
      <c r="X671" s="882"/>
      <c r="Y671" s="882"/>
    </row>
    <row r="672" spans="1:25" x14ac:dyDescent="0.2">
      <c r="A672" s="881"/>
      <c r="B672" s="881"/>
      <c r="C672" s="881"/>
      <c r="D672" s="881"/>
      <c r="E672" s="881"/>
      <c r="R672" s="882"/>
      <c r="S672" s="882"/>
      <c r="T672" s="882"/>
      <c r="U672" s="882"/>
      <c r="V672" s="882"/>
      <c r="W672" s="882"/>
      <c r="X672" s="882"/>
      <c r="Y672" s="882"/>
    </row>
    <row r="673" spans="1:25" x14ac:dyDescent="0.2">
      <c r="A673" s="881"/>
      <c r="B673" s="881"/>
      <c r="C673" s="881"/>
      <c r="D673" s="881"/>
      <c r="E673" s="881"/>
      <c r="R673" s="882"/>
      <c r="S673" s="882"/>
      <c r="T673" s="882"/>
      <c r="U673" s="882"/>
      <c r="V673" s="882"/>
      <c r="W673" s="882"/>
      <c r="X673" s="882"/>
      <c r="Y673" s="882"/>
    </row>
    <row r="674" spans="1:25" x14ac:dyDescent="0.2">
      <c r="A674" s="881"/>
      <c r="B674" s="881"/>
      <c r="C674" s="881"/>
      <c r="D674" s="881"/>
      <c r="E674" s="881"/>
      <c r="R674" s="882"/>
      <c r="S674" s="882"/>
      <c r="T674" s="882"/>
      <c r="U674" s="882"/>
      <c r="V674" s="882"/>
      <c r="W674" s="882"/>
      <c r="X674" s="882"/>
      <c r="Y674" s="882"/>
    </row>
    <row r="675" spans="1:25" x14ac:dyDescent="0.2">
      <c r="A675" s="881"/>
      <c r="B675" s="881"/>
      <c r="C675" s="881"/>
      <c r="D675" s="881"/>
      <c r="E675" s="881"/>
      <c r="R675" s="882"/>
      <c r="S675" s="882"/>
      <c r="T675" s="882"/>
      <c r="U675" s="882"/>
      <c r="V675" s="882"/>
      <c r="W675" s="882"/>
      <c r="X675" s="882"/>
      <c r="Y675" s="882"/>
    </row>
    <row r="676" spans="1:25" x14ac:dyDescent="0.2">
      <c r="A676" s="881"/>
      <c r="B676" s="881"/>
      <c r="C676" s="881"/>
      <c r="D676" s="881"/>
      <c r="E676" s="881"/>
      <c r="R676" s="882"/>
      <c r="S676" s="882"/>
      <c r="T676" s="882"/>
      <c r="U676" s="882"/>
      <c r="V676" s="882"/>
      <c r="W676" s="882"/>
      <c r="X676" s="882"/>
      <c r="Y676" s="882"/>
    </row>
    <row r="677" spans="1:25" x14ac:dyDescent="0.2">
      <c r="A677" s="881"/>
      <c r="B677" s="881"/>
      <c r="C677" s="881"/>
      <c r="D677" s="881"/>
      <c r="E677" s="881"/>
      <c r="R677" s="882"/>
      <c r="S677" s="882"/>
      <c r="T677" s="882"/>
      <c r="U677" s="882"/>
      <c r="V677" s="882"/>
      <c r="W677" s="882"/>
      <c r="X677" s="882"/>
      <c r="Y677" s="882"/>
    </row>
    <row r="678" spans="1:25" x14ac:dyDescent="0.2">
      <c r="A678" s="881"/>
      <c r="B678" s="881"/>
      <c r="C678" s="881"/>
      <c r="D678" s="881"/>
      <c r="E678" s="881"/>
      <c r="R678" s="882"/>
      <c r="S678" s="882"/>
      <c r="T678" s="882"/>
      <c r="U678" s="882"/>
      <c r="V678" s="882"/>
      <c r="W678" s="882"/>
      <c r="X678" s="882"/>
      <c r="Y678" s="882"/>
    </row>
    <row r="679" spans="1:25" x14ac:dyDescent="0.2">
      <c r="A679" s="881"/>
      <c r="B679" s="881"/>
      <c r="C679" s="881"/>
      <c r="D679" s="881"/>
      <c r="E679" s="881"/>
      <c r="R679" s="882"/>
      <c r="S679" s="882"/>
      <c r="T679" s="882"/>
      <c r="U679" s="882"/>
      <c r="V679" s="882"/>
      <c r="W679" s="882"/>
      <c r="X679" s="882"/>
      <c r="Y679" s="882"/>
    </row>
    <row r="680" spans="1:25" x14ac:dyDescent="0.2">
      <c r="A680" s="881"/>
      <c r="B680" s="881"/>
      <c r="C680" s="881"/>
      <c r="D680" s="881"/>
      <c r="E680" s="881"/>
      <c r="R680" s="882"/>
      <c r="S680" s="882"/>
      <c r="T680" s="882"/>
      <c r="U680" s="882"/>
      <c r="V680" s="882"/>
      <c r="W680" s="882"/>
      <c r="X680" s="882"/>
      <c r="Y680" s="882"/>
    </row>
    <row r="681" spans="1:25" x14ac:dyDescent="0.2">
      <c r="A681" s="881"/>
      <c r="B681" s="881"/>
      <c r="C681" s="881"/>
      <c r="D681" s="881"/>
      <c r="E681" s="881"/>
      <c r="R681" s="882"/>
      <c r="S681" s="882"/>
      <c r="T681" s="882"/>
      <c r="U681" s="882"/>
      <c r="V681" s="882"/>
      <c r="W681" s="882"/>
      <c r="X681" s="882"/>
      <c r="Y681" s="882"/>
    </row>
    <row r="682" spans="1:25" x14ac:dyDescent="0.2">
      <c r="A682" s="881"/>
      <c r="B682" s="881"/>
      <c r="C682" s="881"/>
      <c r="D682" s="881"/>
      <c r="E682" s="881"/>
      <c r="R682" s="882"/>
      <c r="S682" s="882"/>
      <c r="T682" s="882"/>
      <c r="U682" s="882"/>
      <c r="V682" s="882"/>
      <c r="W682" s="882"/>
      <c r="X682" s="882"/>
      <c r="Y682" s="882"/>
    </row>
    <row r="683" spans="1:25" x14ac:dyDescent="0.2">
      <c r="A683" s="881"/>
      <c r="B683" s="881"/>
      <c r="C683" s="881"/>
      <c r="D683" s="881"/>
      <c r="E683" s="881"/>
      <c r="R683" s="882"/>
      <c r="S683" s="882"/>
      <c r="T683" s="882"/>
      <c r="U683" s="882"/>
      <c r="V683" s="882"/>
      <c r="W683" s="882"/>
      <c r="X683" s="882"/>
      <c r="Y683" s="882"/>
    </row>
    <row r="684" spans="1:25" x14ac:dyDescent="0.2">
      <c r="A684" s="881"/>
      <c r="B684" s="881"/>
      <c r="C684" s="881"/>
      <c r="D684" s="881"/>
      <c r="E684" s="881"/>
      <c r="R684" s="882"/>
      <c r="S684" s="882"/>
      <c r="T684" s="882"/>
      <c r="U684" s="882"/>
      <c r="V684" s="882"/>
      <c r="W684" s="882"/>
      <c r="X684" s="882"/>
      <c r="Y684" s="882"/>
    </row>
    <row r="685" spans="1:25" x14ac:dyDescent="0.2">
      <c r="A685" s="881"/>
      <c r="B685" s="881"/>
      <c r="C685" s="881"/>
      <c r="D685" s="881"/>
      <c r="E685" s="881"/>
      <c r="R685" s="882"/>
      <c r="S685" s="882"/>
      <c r="T685" s="882"/>
      <c r="U685" s="882"/>
      <c r="V685" s="882"/>
      <c r="W685" s="882"/>
      <c r="X685" s="882"/>
      <c r="Y685" s="882"/>
    </row>
    <row r="686" spans="1:25" x14ac:dyDescent="0.2">
      <c r="A686" s="881"/>
      <c r="B686" s="881"/>
      <c r="C686" s="881"/>
      <c r="D686" s="881"/>
      <c r="E686" s="881"/>
      <c r="R686" s="882"/>
      <c r="S686" s="882"/>
      <c r="T686" s="882"/>
      <c r="U686" s="882"/>
      <c r="V686" s="882"/>
      <c r="W686" s="882"/>
      <c r="X686" s="882"/>
      <c r="Y686" s="882"/>
    </row>
    <row r="687" spans="1:25" x14ac:dyDescent="0.2">
      <c r="A687" s="881"/>
      <c r="B687" s="881"/>
      <c r="C687" s="881"/>
      <c r="D687" s="881"/>
      <c r="E687" s="881"/>
      <c r="R687" s="882"/>
      <c r="S687" s="882"/>
      <c r="T687" s="882"/>
      <c r="U687" s="882"/>
      <c r="V687" s="882"/>
      <c r="W687" s="882"/>
      <c r="X687" s="882"/>
      <c r="Y687" s="882"/>
    </row>
    <row r="688" spans="1:25" x14ac:dyDescent="0.2">
      <c r="A688" s="881"/>
      <c r="B688" s="881"/>
      <c r="C688" s="881"/>
      <c r="D688" s="881"/>
      <c r="E688" s="881"/>
      <c r="R688" s="882"/>
      <c r="S688" s="882"/>
      <c r="T688" s="882"/>
      <c r="U688" s="882"/>
      <c r="V688" s="882"/>
      <c r="W688" s="882"/>
      <c r="X688" s="882"/>
      <c r="Y688" s="882"/>
    </row>
    <row r="689" spans="1:25" x14ac:dyDescent="0.2">
      <c r="A689" s="881"/>
      <c r="B689" s="881"/>
      <c r="C689" s="881"/>
      <c r="D689" s="881"/>
      <c r="E689" s="881"/>
      <c r="R689" s="882"/>
      <c r="S689" s="882"/>
      <c r="T689" s="882"/>
      <c r="U689" s="882"/>
      <c r="V689" s="882"/>
      <c r="W689" s="882"/>
      <c r="X689" s="882"/>
      <c r="Y689" s="882"/>
    </row>
    <row r="690" spans="1:25" x14ac:dyDescent="0.2">
      <c r="A690" s="881"/>
      <c r="B690" s="881"/>
      <c r="C690" s="881"/>
      <c r="D690" s="881"/>
      <c r="E690" s="881"/>
      <c r="R690" s="882"/>
      <c r="S690" s="882"/>
      <c r="T690" s="882"/>
      <c r="U690" s="882"/>
      <c r="V690" s="882"/>
      <c r="W690" s="882"/>
      <c r="X690" s="882"/>
      <c r="Y690" s="882"/>
    </row>
    <row r="691" spans="1:25" x14ac:dyDescent="0.2">
      <c r="A691" s="881"/>
      <c r="B691" s="881"/>
      <c r="C691" s="881"/>
      <c r="D691" s="881"/>
      <c r="E691" s="881"/>
      <c r="R691" s="882"/>
      <c r="S691" s="882"/>
      <c r="T691" s="882"/>
      <c r="U691" s="882"/>
      <c r="V691" s="882"/>
      <c r="W691" s="882"/>
      <c r="X691" s="882"/>
      <c r="Y691" s="882"/>
    </row>
    <row r="692" spans="1:25" x14ac:dyDescent="0.2">
      <c r="A692" s="881"/>
      <c r="B692" s="881"/>
      <c r="C692" s="881"/>
      <c r="D692" s="881"/>
      <c r="E692" s="881"/>
      <c r="R692" s="882"/>
      <c r="S692" s="882"/>
      <c r="T692" s="882"/>
      <c r="U692" s="882"/>
      <c r="V692" s="882"/>
      <c r="W692" s="882"/>
      <c r="X692" s="882"/>
      <c r="Y692" s="882"/>
    </row>
    <row r="693" spans="1:25" x14ac:dyDescent="0.2">
      <c r="A693" s="881"/>
      <c r="B693" s="881"/>
      <c r="C693" s="881"/>
      <c r="D693" s="881"/>
      <c r="E693" s="881"/>
      <c r="R693" s="882"/>
      <c r="S693" s="882"/>
      <c r="T693" s="882"/>
      <c r="U693" s="882"/>
      <c r="V693" s="882"/>
      <c r="W693" s="882"/>
      <c r="X693" s="882"/>
      <c r="Y693" s="882"/>
    </row>
    <row r="694" spans="1:25" x14ac:dyDescent="0.2">
      <c r="A694" s="881"/>
      <c r="B694" s="881"/>
      <c r="C694" s="881"/>
      <c r="D694" s="881"/>
      <c r="E694" s="881"/>
      <c r="R694" s="882"/>
      <c r="S694" s="882"/>
      <c r="T694" s="882"/>
      <c r="U694" s="882"/>
      <c r="V694" s="882"/>
      <c r="W694" s="882"/>
      <c r="X694" s="882"/>
      <c r="Y694" s="882"/>
    </row>
    <row r="695" spans="1:25" x14ac:dyDescent="0.2">
      <c r="A695" s="881"/>
      <c r="B695" s="881"/>
      <c r="C695" s="881"/>
      <c r="D695" s="881"/>
      <c r="E695" s="881"/>
      <c r="R695" s="882"/>
      <c r="S695" s="882"/>
      <c r="T695" s="882"/>
      <c r="U695" s="882"/>
      <c r="V695" s="882"/>
      <c r="W695" s="882"/>
      <c r="X695" s="882"/>
      <c r="Y695" s="882"/>
    </row>
    <row r="696" spans="1:25" x14ac:dyDescent="0.2">
      <c r="A696" s="881"/>
      <c r="B696" s="881"/>
      <c r="C696" s="881"/>
      <c r="D696" s="881"/>
      <c r="E696" s="881"/>
      <c r="R696" s="882"/>
      <c r="S696" s="882"/>
      <c r="T696" s="882"/>
      <c r="U696" s="882"/>
      <c r="V696" s="882"/>
      <c r="W696" s="882"/>
      <c r="X696" s="882"/>
      <c r="Y696" s="882"/>
    </row>
    <row r="697" spans="1:25" x14ac:dyDescent="0.2">
      <c r="A697" s="881"/>
      <c r="B697" s="881"/>
      <c r="C697" s="881"/>
      <c r="D697" s="881"/>
      <c r="E697" s="881"/>
      <c r="R697" s="882"/>
      <c r="S697" s="882"/>
      <c r="T697" s="882"/>
      <c r="U697" s="882"/>
      <c r="V697" s="882"/>
      <c r="W697" s="882"/>
      <c r="X697" s="882"/>
      <c r="Y697" s="882"/>
    </row>
    <row r="698" spans="1:25" x14ac:dyDescent="0.2">
      <c r="A698" s="881"/>
      <c r="B698" s="881"/>
      <c r="C698" s="881"/>
      <c r="D698" s="881"/>
      <c r="E698" s="881"/>
      <c r="R698" s="882"/>
      <c r="S698" s="882"/>
      <c r="T698" s="882"/>
      <c r="U698" s="882"/>
      <c r="V698" s="882"/>
      <c r="W698" s="882"/>
      <c r="X698" s="882"/>
      <c r="Y698" s="882"/>
    </row>
    <row r="699" spans="1:25" x14ac:dyDescent="0.2">
      <c r="A699" s="881"/>
      <c r="B699" s="881"/>
      <c r="C699" s="881"/>
      <c r="D699" s="881"/>
      <c r="E699" s="881"/>
      <c r="R699" s="882"/>
      <c r="S699" s="882"/>
      <c r="T699" s="882"/>
      <c r="U699" s="882"/>
      <c r="V699" s="882"/>
      <c r="W699" s="882"/>
      <c r="X699" s="882"/>
      <c r="Y699" s="882"/>
    </row>
    <row r="700" spans="1:25" x14ac:dyDescent="0.2">
      <c r="A700" s="881"/>
      <c r="B700" s="881"/>
      <c r="C700" s="881"/>
      <c r="D700" s="881"/>
      <c r="E700" s="881"/>
      <c r="R700" s="882"/>
      <c r="S700" s="882"/>
      <c r="T700" s="882"/>
      <c r="U700" s="882"/>
      <c r="V700" s="882"/>
      <c r="W700" s="882"/>
      <c r="X700" s="882"/>
      <c r="Y700" s="882"/>
    </row>
    <row r="701" spans="1:25" x14ac:dyDescent="0.2">
      <c r="A701" s="881"/>
      <c r="B701" s="881"/>
      <c r="C701" s="881"/>
      <c r="D701" s="881"/>
      <c r="E701" s="881"/>
      <c r="R701" s="882"/>
      <c r="S701" s="882"/>
      <c r="T701" s="882"/>
      <c r="U701" s="882"/>
      <c r="V701" s="882"/>
      <c r="W701" s="882"/>
      <c r="X701" s="882"/>
      <c r="Y701" s="882"/>
    </row>
    <row r="702" spans="1:25" x14ac:dyDescent="0.2">
      <c r="A702" s="881"/>
      <c r="B702" s="881"/>
      <c r="C702" s="881"/>
      <c r="D702" s="881"/>
      <c r="E702" s="881"/>
      <c r="R702" s="882"/>
      <c r="S702" s="882"/>
      <c r="T702" s="882"/>
      <c r="U702" s="882"/>
      <c r="V702" s="882"/>
      <c r="W702" s="882"/>
      <c r="X702" s="882"/>
      <c r="Y702" s="882"/>
    </row>
    <row r="703" spans="1:25" x14ac:dyDescent="0.2">
      <c r="A703" s="881"/>
      <c r="B703" s="881"/>
      <c r="C703" s="881"/>
      <c r="D703" s="881"/>
      <c r="E703" s="881"/>
      <c r="R703" s="882"/>
      <c r="S703" s="882"/>
      <c r="T703" s="882"/>
      <c r="U703" s="882"/>
      <c r="V703" s="882"/>
      <c r="W703" s="882"/>
      <c r="X703" s="882"/>
      <c r="Y703" s="882"/>
    </row>
    <row r="704" spans="1:25" x14ac:dyDescent="0.2">
      <c r="A704" s="881"/>
      <c r="B704" s="881"/>
      <c r="C704" s="881"/>
      <c r="D704" s="881"/>
      <c r="E704" s="881"/>
      <c r="R704" s="882"/>
      <c r="S704" s="882"/>
      <c r="T704" s="882"/>
      <c r="U704" s="882"/>
      <c r="V704" s="882"/>
      <c r="W704" s="882"/>
      <c r="X704" s="882"/>
      <c r="Y704" s="882"/>
    </row>
    <row r="705" spans="1:25" x14ac:dyDescent="0.2">
      <c r="A705" s="881"/>
      <c r="B705" s="881"/>
      <c r="C705" s="881"/>
      <c r="D705" s="881"/>
      <c r="E705" s="881"/>
      <c r="R705" s="882"/>
      <c r="S705" s="882"/>
      <c r="T705" s="882"/>
      <c r="U705" s="882"/>
      <c r="V705" s="882"/>
      <c r="W705" s="882"/>
      <c r="X705" s="882"/>
      <c r="Y705" s="882"/>
    </row>
    <row r="706" spans="1:25" x14ac:dyDescent="0.2">
      <c r="A706" s="881"/>
      <c r="B706" s="881"/>
      <c r="C706" s="881"/>
      <c r="D706" s="881"/>
      <c r="E706" s="881"/>
      <c r="R706" s="882"/>
      <c r="S706" s="882"/>
      <c r="T706" s="882"/>
      <c r="U706" s="882"/>
      <c r="V706" s="882"/>
      <c r="W706" s="882"/>
      <c r="X706" s="882"/>
      <c r="Y706" s="882"/>
    </row>
    <row r="707" spans="1:25" x14ac:dyDescent="0.2">
      <c r="A707" s="881"/>
      <c r="B707" s="881"/>
      <c r="C707" s="881"/>
      <c r="D707" s="881"/>
      <c r="E707" s="881"/>
      <c r="R707" s="882"/>
      <c r="S707" s="882"/>
      <c r="T707" s="882"/>
      <c r="U707" s="882"/>
      <c r="V707" s="882"/>
      <c r="W707" s="882"/>
      <c r="X707" s="882"/>
      <c r="Y707" s="882"/>
    </row>
    <row r="708" spans="1:25" x14ac:dyDescent="0.2">
      <c r="A708" s="881"/>
      <c r="B708" s="881"/>
      <c r="C708" s="881"/>
      <c r="D708" s="881"/>
      <c r="E708" s="881"/>
      <c r="R708" s="882"/>
      <c r="S708" s="882"/>
      <c r="T708" s="882"/>
      <c r="U708" s="882"/>
      <c r="V708" s="882"/>
      <c r="W708" s="882"/>
      <c r="X708" s="882"/>
      <c r="Y708" s="882"/>
    </row>
    <row r="709" spans="1:25" x14ac:dyDescent="0.2">
      <c r="A709" s="881"/>
      <c r="B709" s="881"/>
      <c r="C709" s="881"/>
      <c r="D709" s="881"/>
      <c r="E709" s="881"/>
      <c r="R709" s="882"/>
      <c r="S709" s="882"/>
      <c r="T709" s="882"/>
      <c r="U709" s="882"/>
      <c r="V709" s="882"/>
      <c r="W709" s="882"/>
      <c r="X709" s="882"/>
      <c r="Y709" s="882"/>
    </row>
    <row r="710" spans="1:25" x14ac:dyDescent="0.2">
      <c r="A710" s="881"/>
      <c r="B710" s="881"/>
      <c r="C710" s="881"/>
      <c r="D710" s="881"/>
      <c r="E710" s="881"/>
      <c r="R710" s="882"/>
      <c r="S710" s="882"/>
      <c r="T710" s="882"/>
      <c r="U710" s="882"/>
      <c r="V710" s="882"/>
      <c r="W710" s="882"/>
      <c r="X710" s="882"/>
      <c r="Y710" s="882"/>
    </row>
    <row r="711" spans="1:25" x14ac:dyDescent="0.2">
      <c r="A711" s="881"/>
      <c r="B711" s="881"/>
      <c r="C711" s="881"/>
      <c r="D711" s="881"/>
      <c r="E711" s="881"/>
      <c r="R711" s="882"/>
      <c r="S711" s="882"/>
      <c r="T711" s="882"/>
      <c r="U711" s="882"/>
      <c r="V711" s="882"/>
      <c r="W711" s="882"/>
      <c r="X711" s="882"/>
      <c r="Y711" s="882"/>
    </row>
    <row r="712" spans="1:25" x14ac:dyDescent="0.2">
      <c r="A712" s="881"/>
      <c r="B712" s="881"/>
      <c r="C712" s="881"/>
      <c r="D712" s="881"/>
      <c r="E712" s="881"/>
      <c r="R712" s="882"/>
      <c r="S712" s="882"/>
      <c r="T712" s="882"/>
      <c r="U712" s="882"/>
      <c r="V712" s="882"/>
      <c r="W712" s="882"/>
      <c r="X712" s="882"/>
      <c r="Y712" s="882"/>
    </row>
    <row r="713" spans="1:25" x14ac:dyDescent="0.2">
      <c r="A713" s="881"/>
      <c r="B713" s="881"/>
      <c r="C713" s="881"/>
      <c r="D713" s="881"/>
      <c r="E713" s="881"/>
      <c r="R713" s="882"/>
      <c r="S713" s="882"/>
      <c r="T713" s="882"/>
      <c r="U713" s="882"/>
      <c r="V713" s="882"/>
      <c r="W713" s="882"/>
      <c r="X713" s="882"/>
      <c r="Y713" s="882"/>
    </row>
    <row r="714" spans="1:25" x14ac:dyDescent="0.2">
      <c r="A714" s="881"/>
      <c r="B714" s="881"/>
      <c r="C714" s="881"/>
      <c r="D714" s="881"/>
      <c r="E714" s="881"/>
      <c r="R714" s="882"/>
      <c r="S714" s="882"/>
      <c r="T714" s="882"/>
      <c r="U714" s="882"/>
      <c r="V714" s="882"/>
      <c r="W714" s="882"/>
      <c r="X714" s="882"/>
      <c r="Y714" s="882"/>
    </row>
    <row r="715" spans="1:25" x14ac:dyDescent="0.2">
      <c r="A715" s="881"/>
      <c r="B715" s="881"/>
      <c r="C715" s="881"/>
      <c r="D715" s="881"/>
      <c r="E715" s="881"/>
      <c r="R715" s="882"/>
      <c r="S715" s="882"/>
      <c r="T715" s="882"/>
      <c r="U715" s="882"/>
      <c r="V715" s="882"/>
      <c r="W715" s="882"/>
      <c r="X715" s="882"/>
      <c r="Y715" s="882"/>
    </row>
    <row r="716" spans="1:25" x14ac:dyDescent="0.2">
      <c r="A716" s="881"/>
      <c r="B716" s="881"/>
      <c r="C716" s="881"/>
      <c r="D716" s="881"/>
      <c r="E716" s="881"/>
      <c r="R716" s="882"/>
      <c r="S716" s="882"/>
      <c r="T716" s="882"/>
      <c r="U716" s="882"/>
      <c r="V716" s="882"/>
      <c r="W716" s="882"/>
      <c r="X716" s="882"/>
      <c r="Y716" s="882"/>
    </row>
    <row r="717" spans="1:25" x14ac:dyDescent="0.2">
      <c r="A717" s="881"/>
      <c r="B717" s="881"/>
      <c r="C717" s="881"/>
      <c r="D717" s="881"/>
      <c r="E717" s="881"/>
      <c r="R717" s="882"/>
      <c r="S717" s="882"/>
      <c r="T717" s="882"/>
      <c r="U717" s="882"/>
      <c r="V717" s="882"/>
      <c r="W717" s="882"/>
      <c r="X717" s="882"/>
      <c r="Y717" s="882"/>
    </row>
    <row r="718" spans="1:25" x14ac:dyDescent="0.2">
      <c r="A718" s="881"/>
      <c r="B718" s="881"/>
      <c r="C718" s="881"/>
      <c r="D718" s="881"/>
      <c r="E718" s="881"/>
      <c r="R718" s="882"/>
      <c r="S718" s="882"/>
      <c r="T718" s="882"/>
      <c r="U718" s="882"/>
      <c r="V718" s="882"/>
      <c r="W718" s="882"/>
      <c r="X718" s="882"/>
      <c r="Y718" s="882"/>
    </row>
    <row r="719" spans="1:25" x14ac:dyDescent="0.2">
      <c r="A719" s="881"/>
      <c r="B719" s="881"/>
      <c r="C719" s="881"/>
      <c r="D719" s="881"/>
      <c r="E719" s="881"/>
      <c r="R719" s="882"/>
      <c r="S719" s="882"/>
      <c r="T719" s="882"/>
      <c r="U719" s="882"/>
      <c r="V719" s="882"/>
      <c r="W719" s="882"/>
      <c r="X719" s="882"/>
      <c r="Y719" s="882"/>
    </row>
    <row r="720" spans="1:25" x14ac:dyDescent="0.2">
      <c r="A720" s="881"/>
      <c r="B720" s="881"/>
      <c r="C720" s="881"/>
      <c r="D720" s="881"/>
      <c r="E720" s="881"/>
      <c r="R720" s="882"/>
      <c r="S720" s="882"/>
      <c r="T720" s="882"/>
      <c r="U720" s="882"/>
      <c r="V720" s="882"/>
      <c r="W720" s="882"/>
      <c r="X720" s="882"/>
      <c r="Y720" s="882"/>
    </row>
    <row r="721" spans="1:25" x14ac:dyDescent="0.2">
      <c r="A721" s="881"/>
      <c r="B721" s="881"/>
      <c r="C721" s="881"/>
      <c r="D721" s="881"/>
      <c r="E721" s="881"/>
      <c r="R721" s="882"/>
      <c r="S721" s="882"/>
      <c r="T721" s="882"/>
      <c r="U721" s="882"/>
      <c r="V721" s="882"/>
      <c r="W721" s="882"/>
      <c r="X721" s="882"/>
      <c r="Y721" s="882"/>
    </row>
    <row r="722" spans="1:25" x14ac:dyDescent="0.2">
      <c r="A722" s="881"/>
      <c r="B722" s="881"/>
      <c r="C722" s="881"/>
      <c r="D722" s="881"/>
      <c r="E722" s="881"/>
      <c r="R722" s="882"/>
      <c r="S722" s="882"/>
      <c r="T722" s="882"/>
      <c r="U722" s="882"/>
      <c r="V722" s="882"/>
      <c r="W722" s="882"/>
      <c r="X722" s="882"/>
      <c r="Y722" s="882"/>
    </row>
    <row r="723" spans="1:25" x14ac:dyDescent="0.2">
      <c r="A723" s="881"/>
      <c r="B723" s="881"/>
      <c r="C723" s="881"/>
      <c r="D723" s="881"/>
      <c r="E723" s="881"/>
      <c r="R723" s="882"/>
      <c r="S723" s="882"/>
      <c r="T723" s="882"/>
      <c r="U723" s="882"/>
      <c r="V723" s="882"/>
      <c r="W723" s="882"/>
      <c r="X723" s="882"/>
      <c r="Y723" s="882"/>
    </row>
    <row r="724" spans="1:25" x14ac:dyDescent="0.2">
      <c r="A724" s="881"/>
      <c r="B724" s="881"/>
      <c r="C724" s="881"/>
      <c r="D724" s="881"/>
      <c r="E724" s="881"/>
      <c r="R724" s="882"/>
      <c r="S724" s="882"/>
      <c r="T724" s="882"/>
      <c r="U724" s="882"/>
      <c r="V724" s="882"/>
      <c r="W724" s="882"/>
      <c r="X724" s="882"/>
      <c r="Y724" s="882"/>
    </row>
    <row r="725" spans="1:25" x14ac:dyDescent="0.2">
      <c r="A725" s="881"/>
      <c r="B725" s="881"/>
      <c r="C725" s="881"/>
      <c r="D725" s="881"/>
      <c r="E725" s="881"/>
      <c r="R725" s="882"/>
      <c r="S725" s="882"/>
      <c r="T725" s="882"/>
      <c r="U725" s="882"/>
      <c r="V725" s="882"/>
      <c r="W725" s="882"/>
      <c r="X725" s="882"/>
      <c r="Y725" s="882"/>
    </row>
    <row r="726" spans="1:25" x14ac:dyDescent="0.2">
      <c r="A726" s="881"/>
      <c r="B726" s="881"/>
      <c r="C726" s="881"/>
      <c r="D726" s="881"/>
      <c r="E726" s="881"/>
      <c r="R726" s="882"/>
      <c r="S726" s="882"/>
      <c r="T726" s="882"/>
      <c r="U726" s="882"/>
      <c r="V726" s="882"/>
      <c r="W726" s="882"/>
      <c r="X726" s="882"/>
      <c r="Y726" s="882"/>
    </row>
    <row r="727" spans="1:25" x14ac:dyDescent="0.2">
      <c r="A727" s="881"/>
      <c r="B727" s="881"/>
      <c r="C727" s="881"/>
      <c r="D727" s="881"/>
      <c r="E727" s="881"/>
      <c r="R727" s="882"/>
      <c r="S727" s="882"/>
      <c r="T727" s="882"/>
      <c r="U727" s="882"/>
      <c r="V727" s="882"/>
      <c r="W727" s="882"/>
      <c r="X727" s="882"/>
      <c r="Y727" s="882"/>
    </row>
    <row r="728" spans="1:25" x14ac:dyDescent="0.2">
      <c r="A728" s="881"/>
      <c r="B728" s="881"/>
      <c r="C728" s="881"/>
      <c r="D728" s="881"/>
      <c r="E728" s="881"/>
      <c r="R728" s="882"/>
      <c r="S728" s="882"/>
      <c r="T728" s="882"/>
      <c r="U728" s="882"/>
      <c r="V728" s="882"/>
      <c r="W728" s="882"/>
      <c r="X728" s="882"/>
      <c r="Y728" s="882"/>
    </row>
    <row r="729" spans="1:25" x14ac:dyDescent="0.2">
      <c r="A729" s="881"/>
      <c r="B729" s="881"/>
      <c r="C729" s="881"/>
      <c r="D729" s="881"/>
      <c r="E729" s="881"/>
      <c r="R729" s="882"/>
      <c r="S729" s="882"/>
      <c r="T729" s="882"/>
      <c r="U729" s="882"/>
      <c r="V729" s="882"/>
      <c r="W729" s="882"/>
      <c r="X729" s="882"/>
      <c r="Y729" s="882"/>
    </row>
    <row r="730" spans="1:25" x14ac:dyDescent="0.2">
      <c r="A730" s="881"/>
      <c r="B730" s="881"/>
      <c r="C730" s="881"/>
      <c r="D730" s="881"/>
      <c r="E730" s="881"/>
      <c r="R730" s="882"/>
      <c r="S730" s="882"/>
      <c r="T730" s="882"/>
      <c r="U730" s="882"/>
      <c r="V730" s="882"/>
      <c r="W730" s="882"/>
      <c r="X730" s="882"/>
      <c r="Y730" s="882"/>
    </row>
    <row r="731" spans="1:25" x14ac:dyDescent="0.2">
      <c r="A731" s="881"/>
      <c r="B731" s="881"/>
      <c r="C731" s="881"/>
      <c r="D731" s="881"/>
      <c r="E731" s="881"/>
      <c r="R731" s="882"/>
      <c r="S731" s="882"/>
      <c r="T731" s="882"/>
      <c r="U731" s="882"/>
      <c r="V731" s="882"/>
      <c r="W731" s="882"/>
      <c r="X731" s="882"/>
      <c r="Y731" s="882"/>
    </row>
    <row r="732" spans="1:25" x14ac:dyDescent="0.2">
      <c r="A732" s="881"/>
      <c r="B732" s="881"/>
      <c r="C732" s="881"/>
      <c r="D732" s="881"/>
      <c r="E732" s="881"/>
      <c r="R732" s="882"/>
      <c r="S732" s="882"/>
      <c r="T732" s="882"/>
      <c r="U732" s="882"/>
      <c r="V732" s="882"/>
      <c r="W732" s="882"/>
      <c r="X732" s="882"/>
      <c r="Y732" s="882"/>
    </row>
    <row r="733" spans="1:25" x14ac:dyDescent="0.2">
      <c r="A733" s="881"/>
      <c r="B733" s="881"/>
      <c r="C733" s="881"/>
      <c r="D733" s="881"/>
      <c r="E733" s="881"/>
      <c r="R733" s="882"/>
      <c r="S733" s="882"/>
      <c r="T733" s="882"/>
      <c r="U733" s="882"/>
      <c r="V733" s="882"/>
      <c r="W733" s="882"/>
      <c r="X733" s="882"/>
      <c r="Y733" s="882"/>
    </row>
    <row r="734" spans="1:25" x14ac:dyDescent="0.2">
      <c r="A734" s="881"/>
      <c r="B734" s="881"/>
      <c r="C734" s="881"/>
      <c r="D734" s="881"/>
      <c r="E734" s="881"/>
      <c r="R734" s="882"/>
      <c r="S734" s="882"/>
      <c r="T734" s="882"/>
      <c r="U734" s="882"/>
      <c r="V734" s="882"/>
      <c r="W734" s="882"/>
      <c r="X734" s="882"/>
      <c r="Y734" s="882"/>
    </row>
    <row r="735" spans="1:25" x14ac:dyDescent="0.2">
      <c r="A735" s="881"/>
      <c r="B735" s="881"/>
      <c r="C735" s="881"/>
      <c r="D735" s="881"/>
      <c r="E735" s="881"/>
      <c r="R735" s="882"/>
      <c r="S735" s="882"/>
      <c r="T735" s="882"/>
      <c r="U735" s="882"/>
      <c r="V735" s="882"/>
      <c r="W735" s="882"/>
      <c r="X735" s="882"/>
      <c r="Y735" s="882"/>
    </row>
    <row r="736" spans="1:25" x14ac:dyDescent="0.2">
      <c r="A736" s="881"/>
      <c r="B736" s="881"/>
      <c r="C736" s="881"/>
      <c r="D736" s="881"/>
      <c r="E736" s="881"/>
      <c r="R736" s="882"/>
      <c r="S736" s="882"/>
      <c r="T736" s="882"/>
      <c r="U736" s="882"/>
      <c r="V736" s="882"/>
      <c r="W736" s="882"/>
      <c r="X736" s="882"/>
      <c r="Y736" s="882"/>
    </row>
    <row r="737" spans="1:25" x14ac:dyDescent="0.2">
      <c r="A737" s="881"/>
      <c r="B737" s="881"/>
      <c r="C737" s="881"/>
      <c r="D737" s="881"/>
      <c r="E737" s="881"/>
      <c r="R737" s="882"/>
      <c r="S737" s="882"/>
      <c r="T737" s="882"/>
      <c r="U737" s="882"/>
      <c r="V737" s="882"/>
      <c r="W737" s="882"/>
      <c r="X737" s="882"/>
      <c r="Y737" s="882"/>
    </row>
    <row r="738" spans="1:25" x14ac:dyDescent="0.2">
      <c r="A738" s="881"/>
      <c r="B738" s="881"/>
      <c r="C738" s="881"/>
      <c r="D738" s="881"/>
      <c r="E738" s="881"/>
      <c r="R738" s="882"/>
      <c r="S738" s="882"/>
      <c r="T738" s="882"/>
      <c r="U738" s="882"/>
      <c r="V738" s="882"/>
      <c r="W738" s="882"/>
      <c r="X738" s="882"/>
      <c r="Y738" s="882"/>
    </row>
    <row r="739" spans="1:25" x14ac:dyDescent="0.2">
      <c r="A739" s="881"/>
      <c r="B739" s="881"/>
      <c r="C739" s="881"/>
      <c r="D739" s="881"/>
      <c r="E739" s="881"/>
      <c r="R739" s="882"/>
      <c r="S739" s="882"/>
      <c r="T739" s="882"/>
      <c r="U739" s="882"/>
      <c r="V739" s="882"/>
      <c r="W739" s="882"/>
      <c r="X739" s="882"/>
      <c r="Y739" s="882"/>
    </row>
    <row r="740" spans="1:25" x14ac:dyDescent="0.2">
      <c r="A740" s="881"/>
      <c r="B740" s="881"/>
      <c r="C740" s="881"/>
      <c r="D740" s="881"/>
      <c r="E740" s="881"/>
      <c r="R740" s="882"/>
      <c r="S740" s="882"/>
      <c r="T740" s="882"/>
      <c r="U740" s="882"/>
      <c r="V740" s="882"/>
      <c r="W740" s="882"/>
      <c r="X740" s="882"/>
      <c r="Y740" s="882"/>
    </row>
    <row r="741" spans="1:25" x14ac:dyDescent="0.2">
      <c r="A741" s="881"/>
      <c r="B741" s="881"/>
      <c r="C741" s="881"/>
      <c r="D741" s="881"/>
      <c r="E741" s="881"/>
      <c r="R741" s="882"/>
      <c r="S741" s="882"/>
      <c r="T741" s="882"/>
      <c r="U741" s="882"/>
      <c r="V741" s="882"/>
      <c r="W741" s="882"/>
      <c r="X741" s="882"/>
      <c r="Y741" s="882"/>
    </row>
    <row r="742" spans="1:25" x14ac:dyDescent="0.2">
      <c r="A742" s="881"/>
      <c r="B742" s="881"/>
      <c r="C742" s="881"/>
      <c r="D742" s="881"/>
      <c r="E742" s="881"/>
      <c r="R742" s="882"/>
      <c r="S742" s="882"/>
      <c r="T742" s="882"/>
      <c r="U742" s="882"/>
      <c r="V742" s="882"/>
      <c r="W742" s="882"/>
      <c r="X742" s="882"/>
      <c r="Y742" s="882"/>
    </row>
    <row r="743" spans="1:25" x14ac:dyDescent="0.2">
      <c r="A743" s="881"/>
      <c r="B743" s="881"/>
      <c r="C743" s="881"/>
      <c r="D743" s="881"/>
      <c r="E743" s="881"/>
      <c r="R743" s="882"/>
      <c r="S743" s="882"/>
      <c r="T743" s="882"/>
      <c r="U743" s="882"/>
      <c r="V743" s="882"/>
      <c r="W743" s="882"/>
      <c r="X743" s="882"/>
      <c r="Y743" s="882"/>
    </row>
    <row r="744" spans="1:25" x14ac:dyDescent="0.2">
      <c r="A744" s="881"/>
      <c r="B744" s="881"/>
      <c r="C744" s="881"/>
      <c r="D744" s="881"/>
      <c r="E744" s="881"/>
      <c r="R744" s="882"/>
      <c r="S744" s="882"/>
      <c r="T744" s="882"/>
      <c r="U744" s="882"/>
      <c r="V744" s="882"/>
      <c r="W744" s="882"/>
      <c r="X744" s="882"/>
      <c r="Y744" s="882"/>
    </row>
    <row r="745" spans="1:25" x14ac:dyDescent="0.2">
      <c r="A745" s="881"/>
      <c r="B745" s="881"/>
      <c r="C745" s="881"/>
      <c r="D745" s="881"/>
      <c r="E745" s="881"/>
      <c r="R745" s="882"/>
      <c r="S745" s="882"/>
      <c r="T745" s="882"/>
      <c r="U745" s="882"/>
      <c r="V745" s="882"/>
      <c r="W745" s="882"/>
      <c r="X745" s="882"/>
      <c r="Y745" s="882"/>
    </row>
    <row r="746" spans="1:25" x14ac:dyDescent="0.2">
      <c r="A746" s="881"/>
      <c r="B746" s="881"/>
      <c r="C746" s="881"/>
      <c r="D746" s="881"/>
      <c r="E746" s="881"/>
      <c r="R746" s="882"/>
      <c r="S746" s="882"/>
      <c r="T746" s="882"/>
      <c r="U746" s="882"/>
      <c r="V746" s="882"/>
      <c r="W746" s="882"/>
      <c r="X746" s="882"/>
      <c r="Y746" s="882"/>
    </row>
    <row r="747" spans="1:25" x14ac:dyDescent="0.2">
      <c r="A747" s="881"/>
      <c r="B747" s="881"/>
      <c r="C747" s="881"/>
      <c r="D747" s="881"/>
      <c r="E747" s="881"/>
      <c r="R747" s="882"/>
      <c r="S747" s="882"/>
      <c r="T747" s="882"/>
      <c r="U747" s="882"/>
      <c r="V747" s="882"/>
      <c r="W747" s="882"/>
      <c r="X747" s="882"/>
      <c r="Y747" s="882"/>
    </row>
    <row r="748" spans="1:25" x14ac:dyDescent="0.2">
      <c r="A748" s="881"/>
      <c r="B748" s="881"/>
      <c r="C748" s="881"/>
      <c r="D748" s="881"/>
      <c r="E748" s="881"/>
      <c r="R748" s="882"/>
      <c r="S748" s="882"/>
      <c r="T748" s="882"/>
      <c r="U748" s="882"/>
      <c r="V748" s="882"/>
      <c r="W748" s="882"/>
      <c r="X748" s="882"/>
      <c r="Y748" s="882"/>
    </row>
    <row r="749" spans="1:25" x14ac:dyDescent="0.2">
      <c r="A749" s="881"/>
      <c r="B749" s="881"/>
      <c r="C749" s="881"/>
      <c r="D749" s="881"/>
      <c r="E749" s="881"/>
      <c r="R749" s="882"/>
      <c r="S749" s="882"/>
      <c r="T749" s="882"/>
      <c r="U749" s="882"/>
      <c r="V749" s="882"/>
      <c r="W749" s="882"/>
      <c r="X749" s="882"/>
      <c r="Y749" s="882"/>
    </row>
    <row r="750" spans="1:25" x14ac:dyDescent="0.2">
      <c r="A750" s="881"/>
      <c r="B750" s="881"/>
      <c r="C750" s="881"/>
      <c r="D750" s="881"/>
      <c r="E750" s="881"/>
      <c r="R750" s="882"/>
      <c r="S750" s="882"/>
      <c r="T750" s="882"/>
      <c r="U750" s="882"/>
      <c r="V750" s="882"/>
      <c r="W750" s="882"/>
      <c r="X750" s="882"/>
      <c r="Y750" s="882"/>
    </row>
    <row r="751" spans="1:25" x14ac:dyDescent="0.2">
      <c r="A751" s="881"/>
      <c r="B751" s="881"/>
      <c r="C751" s="881"/>
      <c r="D751" s="881"/>
      <c r="E751" s="881"/>
      <c r="R751" s="882"/>
      <c r="S751" s="882"/>
      <c r="T751" s="882"/>
      <c r="U751" s="882"/>
      <c r="V751" s="882"/>
      <c r="W751" s="882"/>
      <c r="X751" s="882"/>
      <c r="Y751" s="882"/>
    </row>
    <row r="752" spans="1:25" x14ac:dyDescent="0.2">
      <c r="A752" s="881"/>
      <c r="B752" s="881"/>
      <c r="C752" s="881"/>
      <c r="D752" s="881"/>
      <c r="E752" s="881"/>
      <c r="R752" s="882"/>
      <c r="S752" s="882"/>
      <c r="T752" s="882"/>
      <c r="U752" s="882"/>
      <c r="V752" s="882"/>
      <c r="W752" s="882"/>
      <c r="X752" s="882"/>
      <c r="Y752" s="882"/>
    </row>
    <row r="753" spans="1:25" x14ac:dyDescent="0.2">
      <c r="A753" s="881"/>
      <c r="B753" s="881"/>
      <c r="C753" s="881"/>
      <c r="D753" s="881"/>
      <c r="E753" s="881"/>
      <c r="R753" s="882"/>
      <c r="S753" s="882"/>
      <c r="T753" s="882"/>
      <c r="U753" s="882"/>
      <c r="V753" s="882"/>
      <c r="W753" s="882"/>
      <c r="X753" s="882"/>
      <c r="Y753" s="882"/>
    </row>
    <row r="754" spans="1:25" x14ac:dyDescent="0.2">
      <c r="A754" s="881"/>
      <c r="B754" s="881"/>
      <c r="C754" s="881"/>
      <c r="D754" s="881"/>
      <c r="E754" s="881"/>
      <c r="R754" s="882"/>
      <c r="S754" s="882"/>
      <c r="T754" s="882"/>
      <c r="U754" s="882"/>
      <c r="V754" s="882"/>
      <c r="W754" s="882"/>
      <c r="X754" s="882"/>
      <c r="Y754" s="882"/>
    </row>
    <row r="755" spans="1:25" x14ac:dyDescent="0.2">
      <c r="A755" s="881"/>
      <c r="B755" s="881"/>
      <c r="C755" s="881"/>
      <c r="D755" s="881"/>
      <c r="E755" s="881"/>
      <c r="R755" s="882"/>
      <c r="S755" s="882"/>
      <c r="T755" s="882"/>
      <c r="U755" s="882"/>
      <c r="V755" s="882"/>
      <c r="W755" s="882"/>
      <c r="X755" s="882"/>
      <c r="Y755" s="882"/>
    </row>
    <row r="756" spans="1:25" x14ac:dyDescent="0.2">
      <c r="A756" s="881"/>
      <c r="B756" s="881"/>
      <c r="C756" s="881"/>
      <c r="D756" s="881"/>
      <c r="E756" s="881"/>
      <c r="R756" s="882"/>
      <c r="S756" s="882"/>
      <c r="T756" s="882"/>
      <c r="U756" s="882"/>
      <c r="V756" s="882"/>
      <c r="W756" s="882"/>
      <c r="X756" s="882"/>
      <c r="Y756" s="882"/>
    </row>
    <row r="757" spans="1:25" x14ac:dyDescent="0.2">
      <c r="A757" s="881"/>
      <c r="B757" s="881"/>
      <c r="C757" s="881"/>
      <c r="D757" s="881"/>
      <c r="E757" s="881"/>
      <c r="R757" s="882"/>
      <c r="S757" s="882"/>
      <c r="T757" s="882"/>
      <c r="U757" s="882"/>
      <c r="V757" s="882"/>
      <c r="W757" s="882"/>
      <c r="X757" s="882"/>
      <c r="Y757" s="882"/>
    </row>
    <row r="758" spans="1:25" x14ac:dyDescent="0.2">
      <c r="A758" s="881"/>
      <c r="B758" s="881"/>
      <c r="C758" s="881"/>
      <c r="D758" s="881"/>
      <c r="E758" s="881"/>
      <c r="R758" s="882"/>
      <c r="S758" s="882"/>
      <c r="T758" s="882"/>
      <c r="U758" s="882"/>
      <c r="V758" s="882"/>
      <c r="W758" s="882"/>
      <c r="X758" s="882"/>
      <c r="Y758" s="882"/>
    </row>
    <row r="759" spans="1:25" x14ac:dyDescent="0.2">
      <c r="A759" s="881"/>
      <c r="B759" s="881"/>
      <c r="C759" s="881"/>
      <c r="D759" s="881"/>
      <c r="E759" s="881"/>
      <c r="R759" s="882"/>
      <c r="S759" s="882"/>
      <c r="T759" s="882"/>
      <c r="U759" s="882"/>
      <c r="V759" s="882"/>
      <c r="W759" s="882"/>
      <c r="X759" s="882"/>
      <c r="Y759" s="882"/>
    </row>
    <row r="760" spans="1:25" x14ac:dyDescent="0.2">
      <c r="A760" s="881"/>
      <c r="B760" s="881"/>
      <c r="C760" s="881"/>
      <c r="D760" s="881"/>
      <c r="E760" s="881"/>
      <c r="R760" s="882"/>
      <c r="S760" s="882"/>
      <c r="T760" s="882"/>
      <c r="U760" s="882"/>
      <c r="V760" s="882"/>
      <c r="W760" s="882"/>
      <c r="X760" s="882"/>
      <c r="Y760" s="882"/>
    </row>
    <row r="761" spans="1:25" x14ac:dyDescent="0.2">
      <c r="A761" s="881"/>
      <c r="B761" s="881"/>
      <c r="C761" s="881"/>
      <c r="D761" s="881"/>
      <c r="E761" s="881"/>
      <c r="R761" s="882"/>
      <c r="S761" s="882"/>
      <c r="T761" s="882"/>
      <c r="U761" s="882"/>
      <c r="V761" s="882"/>
      <c r="W761" s="882"/>
      <c r="X761" s="882"/>
      <c r="Y761" s="882"/>
    </row>
    <row r="762" spans="1:25" x14ac:dyDescent="0.2">
      <c r="A762" s="881"/>
      <c r="B762" s="881"/>
      <c r="C762" s="881"/>
      <c r="D762" s="881"/>
      <c r="E762" s="881"/>
      <c r="R762" s="882"/>
      <c r="S762" s="882"/>
      <c r="T762" s="882"/>
      <c r="U762" s="882"/>
      <c r="V762" s="882"/>
      <c r="W762" s="882"/>
      <c r="X762" s="882"/>
      <c r="Y762" s="882"/>
    </row>
    <row r="763" spans="1:25" x14ac:dyDescent="0.2">
      <c r="A763" s="881"/>
      <c r="B763" s="881"/>
      <c r="C763" s="881"/>
      <c r="D763" s="881"/>
      <c r="E763" s="881"/>
      <c r="R763" s="882"/>
      <c r="S763" s="882"/>
      <c r="T763" s="882"/>
      <c r="U763" s="882"/>
      <c r="V763" s="882"/>
      <c r="W763" s="882"/>
      <c r="X763" s="882"/>
      <c r="Y763" s="882"/>
    </row>
    <row r="764" spans="1:25" x14ac:dyDescent="0.2">
      <c r="A764" s="881"/>
      <c r="B764" s="881"/>
      <c r="C764" s="881"/>
      <c r="D764" s="881"/>
      <c r="E764" s="881"/>
      <c r="R764" s="882"/>
      <c r="S764" s="882"/>
      <c r="T764" s="882"/>
      <c r="U764" s="882"/>
      <c r="V764" s="882"/>
      <c r="W764" s="882"/>
      <c r="X764" s="882"/>
      <c r="Y764" s="882"/>
    </row>
    <row r="765" spans="1:25" x14ac:dyDescent="0.2">
      <c r="A765" s="881"/>
      <c r="B765" s="881"/>
      <c r="C765" s="881"/>
      <c r="D765" s="881"/>
      <c r="E765" s="881"/>
      <c r="R765" s="882"/>
      <c r="S765" s="882"/>
      <c r="T765" s="882"/>
      <c r="U765" s="882"/>
      <c r="V765" s="882"/>
      <c r="W765" s="882"/>
      <c r="X765" s="882"/>
      <c r="Y765" s="882"/>
    </row>
    <row r="766" spans="1:25" x14ac:dyDescent="0.2">
      <c r="A766" s="881"/>
      <c r="B766" s="881"/>
      <c r="C766" s="881"/>
      <c r="D766" s="881"/>
      <c r="E766" s="881"/>
      <c r="R766" s="882"/>
      <c r="S766" s="882"/>
      <c r="T766" s="882"/>
      <c r="U766" s="882"/>
      <c r="V766" s="882"/>
      <c r="W766" s="882"/>
      <c r="X766" s="882"/>
      <c r="Y766" s="882"/>
    </row>
    <row r="767" spans="1:25" x14ac:dyDescent="0.2">
      <c r="A767" s="881"/>
      <c r="B767" s="881"/>
      <c r="C767" s="881"/>
      <c r="D767" s="881"/>
      <c r="E767" s="881"/>
      <c r="R767" s="882"/>
      <c r="S767" s="882"/>
      <c r="T767" s="882"/>
      <c r="U767" s="882"/>
      <c r="V767" s="882"/>
      <c r="W767" s="882"/>
      <c r="X767" s="882"/>
      <c r="Y767" s="882"/>
    </row>
    <row r="768" spans="1:25" x14ac:dyDescent="0.2">
      <c r="A768" s="881"/>
      <c r="B768" s="881"/>
      <c r="C768" s="881"/>
      <c r="D768" s="881"/>
      <c r="E768" s="881"/>
      <c r="R768" s="882"/>
      <c r="S768" s="882"/>
      <c r="T768" s="882"/>
      <c r="U768" s="882"/>
      <c r="V768" s="882"/>
      <c r="W768" s="882"/>
      <c r="X768" s="882"/>
      <c r="Y768" s="882"/>
    </row>
    <row r="769" spans="1:25" x14ac:dyDescent="0.2">
      <c r="A769" s="881"/>
      <c r="B769" s="881"/>
      <c r="C769" s="881"/>
      <c r="D769" s="881"/>
      <c r="E769" s="881"/>
      <c r="R769" s="882"/>
      <c r="S769" s="882"/>
      <c r="T769" s="882"/>
      <c r="U769" s="882"/>
      <c r="V769" s="882"/>
      <c r="W769" s="882"/>
      <c r="X769" s="882"/>
      <c r="Y769" s="882"/>
    </row>
    <row r="770" spans="1:25" x14ac:dyDescent="0.2">
      <c r="A770" s="881"/>
      <c r="B770" s="881"/>
      <c r="C770" s="881"/>
      <c r="D770" s="881"/>
      <c r="E770" s="881"/>
      <c r="R770" s="882"/>
      <c r="S770" s="882"/>
      <c r="T770" s="882"/>
      <c r="U770" s="882"/>
      <c r="V770" s="882"/>
      <c r="W770" s="882"/>
      <c r="X770" s="882"/>
      <c r="Y770" s="882"/>
    </row>
    <row r="771" spans="1:25" x14ac:dyDescent="0.2">
      <c r="A771" s="881"/>
      <c r="B771" s="881"/>
      <c r="C771" s="881"/>
      <c r="D771" s="881"/>
      <c r="E771" s="881"/>
      <c r="R771" s="882"/>
      <c r="S771" s="882"/>
      <c r="T771" s="882"/>
      <c r="U771" s="882"/>
      <c r="V771" s="882"/>
      <c r="W771" s="882"/>
      <c r="X771" s="882"/>
      <c r="Y771" s="882"/>
    </row>
    <row r="772" spans="1:25" x14ac:dyDescent="0.2">
      <c r="A772" s="881"/>
      <c r="B772" s="881"/>
      <c r="C772" s="881"/>
      <c r="D772" s="881"/>
      <c r="E772" s="881"/>
      <c r="R772" s="882"/>
      <c r="S772" s="882"/>
      <c r="T772" s="882"/>
      <c r="U772" s="882"/>
      <c r="V772" s="882"/>
      <c r="W772" s="882"/>
      <c r="X772" s="882"/>
      <c r="Y772" s="882"/>
    </row>
    <row r="773" spans="1:25" x14ac:dyDescent="0.2">
      <c r="A773" s="881"/>
      <c r="B773" s="881"/>
      <c r="C773" s="881"/>
      <c r="D773" s="881"/>
      <c r="E773" s="881"/>
      <c r="R773" s="882"/>
      <c r="S773" s="882"/>
      <c r="T773" s="882"/>
      <c r="U773" s="882"/>
      <c r="V773" s="882"/>
      <c r="W773" s="882"/>
      <c r="X773" s="882"/>
      <c r="Y773" s="882"/>
    </row>
    <row r="774" spans="1:25" x14ac:dyDescent="0.2">
      <c r="A774" s="881"/>
      <c r="B774" s="881"/>
      <c r="C774" s="881"/>
      <c r="D774" s="881"/>
      <c r="E774" s="881"/>
      <c r="R774" s="882"/>
      <c r="S774" s="882"/>
      <c r="T774" s="882"/>
      <c r="U774" s="882"/>
      <c r="V774" s="882"/>
      <c r="W774" s="882"/>
      <c r="X774" s="882"/>
      <c r="Y774" s="882"/>
    </row>
    <row r="775" spans="1:25" x14ac:dyDescent="0.2">
      <c r="A775" s="881"/>
      <c r="B775" s="881"/>
      <c r="C775" s="881"/>
      <c r="D775" s="881"/>
      <c r="E775" s="881"/>
      <c r="R775" s="882"/>
      <c r="S775" s="882"/>
      <c r="T775" s="882"/>
      <c r="U775" s="882"/>
      <c r="V775" s="882"/>
      <c r="W775" s="882"/>
      <c r="X775" s="882"/>
      <c r="Y775" s="882"/>
    </row>
    <row r="776" spans="1:25" x14ac:dyDescent="0.2">
      <c r="A776" s="881"/>
      <c r="B776" s="881"/>
      <c r="C776" s="881"/>
      <c r="D776" s="881"/>
      <c r="E776" s="881"/>
      <c r="R776" s="882"/>
      <c r="S776" s="882"/>
      <c r="T776" s="882"/>
      <c r="U776" s="882"/>
      <c r="V776" s="882"/>
      <c r="W776" s="882"/>
      <c r="X776" s="882"/>
      <c r="Y776" s="882"/>
    </row>
    <row r="777" spans="1:25" x14ac:dyDescent="0.2">
      <c r="A777" s="881"/>
      <c r="B777" s="881"/>
      <c r="C777" s="881"/>
      <c r="D777" s="881"/>
      <c r="E777" s="881"/>
      <c r="R777" s="882"/>
      <c r="S777" s="882"/>
      <c r="T777" s="882"/>
      <c r="U777" s="882"/>
      <c r="V777" s="882"/>
      <c r="W777" s="882"/>
      <c r="X777" s="882"/>
      <c r="Y777" s="882"/>
    </row>
    <row r="778" spans="1:25" x14ac:dyDescent="0.2">
      <c r="A778" s="881"/>
      <c r="B778" s="881"/>
      <c r="C778" s="881"/>
      <c r="D778" s="881"/>
      <c r="E778" s="881"/>
      <c r="R778" s="882"/>
      <c r="S778" s="882"/>
      <c r="T778" s="882"/>
      <c r="U778" s="882"/>
      <c r="V778" s="882"/>
      <c r="W778" s="882"/>
      <c r="X778" s="882"/>
      <c r="Y778" s="882"/>
    </row>
    <row r="779" spans="1:25" x14ac:dyDescent="0.2">
      <c r="A779" s="881"/>
      <c r="B779" s="881"/>
      <c r="C779" s="881"/>
      <c r="D779" s="881"/>
      <c r="E779" s="881"/>
      <c r="R779" s="882"/>
      <c r="S779" s="882"/>
      <c r="T779" s="882"/>
      <c r="U779" s="882"/>
      <c r="V779" s="882"/>
      <c r="W779" s="882"/>
      <c r="X779" s="882"/>
      <c r="Y779" s="882"/>
    </row>
    <row r="780" spans="1:25" x14ac:dyDescent="0.2">
      <c r="A780" s="881"/>
      <c r="B780" s="881"/>
      <c r="C780" s="881"/>
      <c r="D780" s="881"/>
      <c r="E780" s="881"/>
      <c r="R780" s="882"/>
      <c r="S780" s="882"/>
      <c r="T780" s="882"/>
      <c r="U780" s="882"/>
      <c r="V780" s="882"/>
      <c r="W780" s="882"/>
      <c r="X780" s="882"/>
      <c r="Y780" s="882"/>
    </row>
    <row r="781" spans="1:25" x14ac:dyDescent="0.2">
      <c r="A781" s="881"/>
      <c r="B781" s="881"/>
      <c r="C781" s="881"/>
      <c r="D781" s="881"/>
      <c r="E781" s="881"/>
      <c r="R781" s="882"/>
      <c r="S781" s="882"/>
      <c r="T781" s="882"/>
      <c r="U781" s="882"/>
      <c r="V781" s="882"/>
      <c r="W781" s="882"/>
      <c r="X781" s="882"/>
      <c r="Y781" s="882"/>
    </row>
    <row r="782" spans="1:25" x14ac:dyDescent="0.2">
      <c r="A782" s="881"/>
      <c r="B782" s="881"/>
      <c r="C782" s="881"/>
      <c r="D782" s="881"/>
      <c r="E782" s="881"/>
      <c r="R782" s="882"/>
      <c r="S782" s="882"/>
      <c r="T782" s="882"/>
      <c r="U782" s="882"/>
      <c r="V782" s="882"/>
      <c r="W782" s="882"/>
      <c r="X782" s="882"/>
      <c r="Y782" s="882"/>
    </row>
    <row r="783" spans="1:25" x14ac:dyDescent="0.2">
      <c r="A783" s="881"/>
      <c r="B783" s="881"/>
      <c r="C783" s="881"/>
      <c r="D783" s="881"/>
      <c r="E783" s="881"/>
      <c r="R783" s="882"/>
      <c r="S783" s="882"/>
      <c r="T783" s="882"/>
      <c r="U783" s="882"/>
      <c r="V783" s="882"/>
      <c r="W783" s="882"/>
      <c r="X783" s="882"/>
      <c r="Y783" s="882"/>
    </row>
    <row r="784" spans="1:25" x14ac:dyDescent="0.2">
      <c r="A784" s="881"/>
      <c r="B784" s="881"/>
      <c r="C784" s="881"/>
      <c r="D784" s="881"/>
      <c r="E784" s="881"/>
      <c r="R784" s="882"/>
      <c r="S784" s="882"/>
      <c r="T784" s="882"/>
      <c r="U784" s="882"/>
      <c r="V784" s="882"/>
      <c r="W784" s="882"/>
      <c r="X784" s="882"/>
      <c r="Y784" s="882"/>
    </row>
    <row r="785" spans="1:25" x14ac:dyDescent="0.2">
      <c r="A785" s="881"/>
      <c r="B785" s="881"/>
      <c r="C785" s="881"/>
      <c r="D785" s="881"/>
      <c r="E785" s="881"/>
      <c r="R785" s="882"/>
      <c r="S785" s="882"/>
      <c r="T785" s="882"/>
      <c r="U785" s="882"/>
      <c r="V785" s="882"/>
      <c r="W785" s="882"/>
      <c r="X785" s="882"/>
      <c r="Y785" s="882"/>
    </row>
    <row r="786" spans="1:25" x14ac:dyDescent="0.2">
      <c r="A786" s="881"/>
      <c r="B786" s="881"/>
      <c r="C786" s="881"/>
      <c r="D786" s="881"/>
      <c r="E786" s="881"/>
      <c r="R786" s="882"/>
      <c r="S786" s="882"/>
      <c r="T786" s="882"/>
      <c r="U786" s="882"/>
      <c r="V786" s="882"/>
      <c r="W786" s="882"/>
      <c r="X786" s="882"/>
      <c r="Y786" s="882"/>
    </row>
    <row r="787" spans="1:25" x14ac:dyDescent="0.2">
      <c r="A787" s="881"/>
      <c r="B787" s="881"/>
      <c r="C787" s="881"/>
      <c r="D787" s="881"/>
      <c r="E787" s="881"/>
      <c r="R787" s="882"/>
      <c r="S787" s="882"/>
      <c r="T787" s="882"/>
      <c r="U787" s="882"/>
      <c r="V787" s="882"/>
      <c r="W787" s="882"/>
      <c r="X787" s="882"/>
      <c r="Y787" s="882"/>
    </row>
    <row r="788" spans="1:25" x14ac:dyDescent="0.2">
      <c r="A788" s="881"/>
      <c r="B788" s="881"/>
      <c r="C788" s="881"/>
      <c r="D788" s="881"/>
      <c r="E788" s="881"/>
      <c r="R788" s="882"/>
      <c r="S788" s="882"/>
      <c r="T788" s="882"/>
      <c r="U788" s="882"/>
      <c r="V788" s="882"/>
      <c r="W788" s="882"/>
      <c r="X788" s="882"/>
      <c r="Y788" s="882"/>
    </row>
    <row r="789" spans="1:25" x14ac:dyDescent="0.2">
      <c r="A789" s="881"/>
      <c r="B789" s="881"/>
      <c r="C789" s="881"/>
      <c r="D789" s="881"/>
      <c r="E789" s="881"/>
      <c r="R789" s="882"/>
      <c r="S789" s="882"/>
      <c r="T789" s="882"/>
      <c r="U789" s="882"/>
      <c r="V789" s="882"/>
      <c r="W789" s="882"/>
      <c r="X789" s="882"/>
      <c r="Y789" s="882"/>
    </row>
    <row r="790" spans="1:25" x14ac:dyDescent="0.2">
      <c r="A790" s="881"/>
      <c r="B790" s="881"/>
      <c r="C790" s="881"/>
      <c r="D790" s="881"/>
      <c r="E790" s="881"/>
      <c r="R790" s="882"/>
      <c r="S790" s="882"/>
      <c r="T790" s="882"/>
      <c r="U790" s="882"/>
      <c r="V790" s="882"/>
      <c r="W790" s="882"/>
      <c r="X790" s="882"/>
      <c r="Y790" s="882"/>
    </row>
    <row r="791" spans="1:25" x14ac:dyDescent="0.2">
      <c r="A791" s="881"/>
      <c r="B791" s="881"/>
      <c r="C791" s="881"/>
      <c r="D791" s="881"/>
      <c r="E791" s="881"/>
      <c r="R791" s="882"/>
      <c r="S791" s="882"/>
      <c r="T791" s="882"/>
      <c r="U791" s="882"/>
      <c r="V791" s="882"/>
      <c r="W791" s="882"/>
      <c r="X791" s="882"/>
      <c r="Y791" s="882"/>
    </row>
    <row r="792" spans="1:25" x14ac:dyDescent="0.2">
      <c r="A792" s="881"/>
      <c r="B792" s="881"/>
      <c r="C792" s="881"/>
      <c r="D792" s="881"/>
      <c r="E792" s="881"/>
      <c r="R792" s="882"/>
      <c r="S792" s="882"/>
      <c r="T792" s="882"/>
      <c r="U792" s="882"/>
      <c r="V792" s="882"/>
      <c r="W792" s="882"/>
      <c r="X792" s="882"/>
      <c r="Y792" s="882"/>
    </row>
    <row r="793" spans="1:25" x14ac:dyDescent="0.2">
      <c r="A793" s="881"/>
      <c r="B793" s="881"/>
      <c r="C793" s="881"/>
      <c r="D793" s="881"/>
      <c r="E793" s="881"/>
      <c r="R793" s="882"/>
      <c r="S793" s="882"/>
      <c r="T793" s="882"/>
      <c r="U793" s="882"/>
      <c r="V793" s="882"/>
      <c r="W793" s="882"/>
      <c r="X793" s="882"/>
      <c r="Y793" s="882"/>
    </row>
    <row r="794" spans="1:25" x14ac:dyDescent="0.2">
      <c r="A794" s="881"/>
      <c r="B794" s="881"/>
      <c r="C794" s="881"/>
      <c r="D794" s="881"/>
      <c r="E794" s="881"/>
      <c r="R794" s="882"/>
      <c r="S794" s="882"/>
      <c r="T794" s="882"/>
      <c r="U794" s="882"/>
      <c r="V794" s="882"/>
      <c r="W794" s="882"/>
      <c r="X794" s="882"/>
      <c r="Y794" s="882"/>
    </row>
    <row r="795" spans="1:25" x14ac:dyDescent="0.2">
      <c r="A795" s="881"/>
      <c r="B795" s="881"/>
      <c r="C795" s="881"/>
      <c r="D795" s="881"/>
      <c r="E795" s="881"/>
      <c r="R795" s="882"/>
      <c r="S795" s="882"/>
      <c r="T795" s="882"/>
      <c r="U795" s="882"/>
      <c r="V795" s="882"/>
      <c r="W795" s="882"/>
      <c r="X795" s="882"/>
      <c r="Y795" s="882"/>
    </row>
    <row r="796" spans="1:25" x14ac:dyDescent="0.2">
      <c r="A796" s="881"/>
      <c r="B796" s="881"/>
      <c r="C796" s="881"/>
      <c r="D796" s="881"/>
      <c r="E796" s="881"/>
      <c r="R796" s="882"/>
      <c r="S796" s="882"/>
      <c r="T796" s="882"/>
      <c r="U796" s="882"/>
      <c r="V796" s="882"/>
      <c r="W796" s="882"/>
      <c r="X796" s="882"/>
      <c r="Y796" s="882"/>
    </row>
    <row r="797" spans="1:25" x14ac:dyDescent="0.2">
      <c r="A797" s="881"/>
      <c r="B797" s="881"/>
      <c r="C797" s="881"/>
      <c r="D797" s="881"/>
      <c r="E797" s="881"/>
      <c r="R797" s="882"/>
      <c r="S797" s="882"/>
      <c r="T797" s="882"/>
      <c r="U797" s="882"/>
      <c r="V797" s="882"/>
      <c r="W797" s="882"/>
      <c r="X797" s="882"/>
      <c r="Y797" s="882"/>
    </row>
    <row r="798" spans="1:25" x14ac:dyDescent="0.2">
      <c r="A798" s="881"/>
      <c r="B798" s="881"/>
      <c r="C798" s="881"/>
      <c r="D798" s="881"/>
      <c r="E798" s="881"/>
      <c r="R798" s="882"/>
      <c r="S798" s="882"/>
      <c r="T798" s="882"/>
      <c r="U798" s="882"/>
      <c r="V798" s="882"/>
      <c r="W798" s="882"/>
      <c r="X798" s="882"/>
      <c r="Y798" s="882"/>
    </row>
    <row r="799" spans="1:25" x14ac:dyDescent="0.2">
      <c r="A799" s="881"/>
      <c r="B799" s="881"/>
      <c r="C799" s="881"/>
      <c r="D799" s="881"/>
      <c r="E799" s="881"/>
      <c r="R799" s="882"/>
      <c r="S799" s="882"/>
      <c r="T799" s="882"/>
      <c r="U799" s="882"/>
      <c r="V799" s="882"/>
      <c r="W799" s="882"/>
      <c r="X799" s="882"/>
      <c r="Y799" s="882"/>
    </row>
    <row r="800" spans="1:25" x14ac:dyDescent="0.2">
      <c r="A800" s="881"/>
      <c r="B800" s="881"/>
      <c r="C800" s="881"/>
      <c r="D800" s="881"/>
      <c r="E800" s="881"/>
      <c r="R800" s="882"/>
      <c r="S800" s="882"/>
      <c r="T800" s="882"/>
      <c r="U800" s="882"/>
      <c r="V800" s="882"/>
      <c r="W800" s="882"/>
      <c r="X800" s="882"/>
      <c r="Y800" s="882"/>
    </row>
    <row r="801" spans="1:25" x14ac:dyDescent="0.2">
      <c r="A801" s="881"/>
      <c r="B801" s="881"/>
      <c r="C801" s="881"/>
      <c r="D801" s="881"/>
      <c r="E801" s="881"/>
      <c r="R801" s="882"/>
      <c r="S801" s="882"/>
      <c r="T801" s="882"/>
      <c r="U801" s="882"/>
      <c r="V801" s="882"/>
      <c r="W801" s="882"/>
      <c r="X801" s="882"/>
      <c r="Y801" s="882"/>
    </row>
    <row r="802" spans="1:25" x14ac:dyDescent="0.2">
      <c r="A802" s="881"/>
      <c r="B802" s="881"/>
      <c r="C802" s="881"/>
      <c r="D802" s="881"/>
      <c r="E802" s="881"/>
      <c r="R802" s="882"/>
      <c r="S802" s="882"/>
      <c r="T802" s="882"/>
      <c r="U802" s="882"/>
      <c r="V802" s="882"/>
      <c r="W802" s="882"/>
      <c r="X802" s="882"/>
      <c r="Y802" s="882"/>
    </row>
    <row r="803" spans="1:25" x14ac:dyDescent="0.2">
      <c r="A803" s="881"/>
      <c r="B803" s="881"/>
      <c r="C803" s="881"/>
      <c r="D803" s="881"/>
      <c r="E803" s="881"/>
      <c r="R803" s="882"/>
      <c r="S803" s="882"/>
      <c r="T803" s="882"/>
      <c r="U803" s="882"/>
      <c r="V803" s="882"/>
      <c r="W803" s="882"/>
      <c r="X803" s="882"/>
      <c r="Y803" s="882"/>
    </row>
    <row r="804" spans="1:25" x14ac:dyDescent="0.2">
      <c r="A804" s="881"/>
      <c r="B804" s="881"/>
      <c r="C804" s="881"/>
      <c r="D804" s="881"/>
      <c r="E804" s="881"/>
      <c r="R804" s="882"/>
      <c r="S804" s="882"/>
      <c r="T804" s="882"/>
      <c r="U804" s="882"/>
      <c r="V804" s="882"/>
      <c r="W804" s="882"/>
      <c r="X804" s="882"/>
      <c r="Y804" s="882"/>
    </row>
    <row r="805" spans="1:25" x14ac:dyDescent="0.2">
      <c r="A805" s="881"/>
      <c r="B805" s="881"/>
      <c r="C805" s="881"/>
      <c r="D805" s="881"/>
      <c r="E805" s="881"/>
      <c r="R805" s="882"/>
      <c r="S805" s="882"/>
      <c r="T805" s="882"/>
      <c r="U805" s="882"/>
      <c r="V805" s="882"/>
      <c r="W805" s="882"/>
      <c r="X805" s="882"/>
      <c r="Y805" s="882"/>
    </row>
    <row r="806" spans="1:25" x14ac:dyDescent="0.2">
      <c r="A806" s="881"/>
      <c r="B806" s="881"/>
      <c r="C806" s="881"/>
      <c r="D806" s="881"/>
      <c r="E806" s="881"/>
      <c r="R806" s="882"/>
      <c r="S806" s="882"/>
      <c r="T806" s="882"/>
      <c r="U806" s="882"/>
      <c r="V806" s="882"/>
      <c r="W806" s="882"/>
      <c r="X806" s="882"/>
      <c r="Y806" s="882"/>
    </row>
    <row r="807" spans="1:25" x14ac:dyDescent="0.2">
      <c r="A807" s="881"/>
      <c r="B807" s="881"/>
      <c r="C807" s="881"/>
      <c r="D807" s="881"/>
      <c r="E807" s="881"/>
      <c r="R807" s="882"/>
      <c r="S807" s="882"/>
      <c r="T807" s="882"/>
      <c r="U807" s="882"/>
      <c r="V807" s="882"/>
      <c r="W807" s="882"/>
      <c r="X807" s="882"/>
      <c r="Y807" s="882"/>
    </row>
    <row r="808" spans="1:25" x14ac:dyDescent="0.2">
      <c r="A808" s="881"/>
      <c r="B808" s="881"/>
      <c r="C808" s="881"/>
      <c r="D808" s="881"/>
      <c r="E808" s="881"/>
      <c r="R808" s="882"/>
      <c r="S808" s="882"/>
      <c r="T808" s="882"/>
      <c r="U808" s="882"/>
      <c r="V808" s="882"/>
      <c r="W808" s="882"/>
      <c r="X808" s="882"/>
      <c r="Y808" s="882"/>
    </row>
    <row r="809" spans="1:25" x14ac:dyDescent="0.2">
      <c r="A809" s="881"/>
      <c r="B809" s="881"/>
      <c r="C809" s="881"/>
      <c r="D809" s="881"/>
      <c r="E809" s="881"/>
      <c r="R809" s="882"/>
      <c r="S809" s="882"/>
      <c r="T809" s="882"/>
      <c r="U809" s="882"/>
      <c r="V809" s="882"/>
      <c r="W809" s="882"/>
      <c r="X809" s="882"/>
      <c r="Y809" s="882"/>
    </row>
    <row r="810" spans="1:25" x14ac:dyDescent="0.2">
      <c r="A810" s="881"/>
      <c r="B810" s="881"/>
      <c r="C810" s="881"/>
      <c r="D810" s="881"/>
      <c r="E810" s="881"/>
      <c r="R810" s="882"/>
      <c r="S810" s="882"/>
      <c r="T810" s="882"/>
      <c r="U810" s="882"/>
      <c r="V810" s="882"/>
      <c r="W810" s="882"/>
      <c r="X810" s="882"/>
      <c r="Y810" s="882"/>
    </row>
    <row r="811" spans="1:25" x14ac:dyDescent="0.2">
      <c r="A811" s="881"/>
      <c r="B811" s="881"/>
      <c r="C811" s="881"/>
      <c r="D811" s="881"/>
      <c r="E811" s="881"/>
      <c r="R811" s="882"/>
      <c r="S811" s="882"/>
      <c r="T811" s="882"/>
      <c r="U811" s="882"/>
      <c r="V811" s="882"/>
      <c r="W811" s="882"/>
      <c r="X811" s="882"/>
      <c r="Y811" s="882"/>
    </row>
    <row r="812" spans="1:25" x14ac:dyDescent="0.2">
      <c r="A812" s="881"/>
      <c r="B812" s="881"/>
      <c r="C812" s="881"/>
      <c r="D812" s="881"/>
      <c r="E812" s="881"/>
      <c r="R812" s="882"/>
      <c r="S812" s="882"/>
      <c r="T812" s="882"/>
      <c r="U812" s="882"/>
      <c r="V812" s="882"/>
      <c r="W812" s="882"/>
      <c r="X812" s="882"/>
      <c r="Y812" s="882"/>
    </row>
    <row r="813" spans="1:25" x14ac:dyDescent="0.2">
      <c r="A813" s="881"/>
      <c r="B813" s="881"/>
      <c r="C813" s="881"/>
      <c r="D813" s="881"/>
      <c r="E813" s="881"/>
      <c r="R813" s="882"/>
      <c r="S813" s="882"/>
      <c r="T813" s="882"/>
      <c r="U813" s="882"/>
      <c r="V813" s="882"/>
      <c r="W813" s="882"/>
      <c r="X813" s="882"/>
      <c r="Y813" s="882"/>
    </row>
    <row r="814" spans="1:25" x14ac:dyDescent="0.2">
      <c r="A814" s="881"/>
      <c r="B814" s="881"/>
      <c r="C814" s="881"/>
      <c r="D814" s="881"/>
      <c r="E814" s="881"/>
      <c r="R814" s="882"/>
      <c r="S814" s="882"/>
      <c r="T814" s="882"/>
      <c r="U814" s="882"/>
      <c r="V814" s="882"/>
      <c r="W814" s="882"/>
      <c r="X814" s="882"/>
      <c r="Y814" s="882"/>
    </row>
    <row r="815" spans="1:25" x14ac:dyDescent="0.2">
      <c r="A815" s="881"/>
      <c r="B815" s="881"/>
      <c r="C815" s="881"/>
      <c r="D815" s="881"/>
      <c r="E815" s="881"/>
      <c r="R815" s="882"/>
      <c r="S815" s="882"/>
      <c r="T815" s="882"/>
      <c r="U815" s="882"/>
      <c r="V815" s="882"/>
      <c r="W815" s="882"/>
      <c r="X815" s="882"/>
      <c r="Y815" s="882"/>
    </row>
    <row r="816" spans="1:25" x14ac:dyDescent="0.2">
      <c r="A816" s="881"/>
      <c r="B816" s="881"/>
      <c r="C816" s="881"/>
      <c r="D816" s="881"/>
      <c r="E816" s="881"/>
      <c r="R816" s="882"/>
      <c r="S816" s="882"/>
      <c r="T816" s="882"/>
      <c r="U816" s="882"/>
      <c r="V816" s="882"/>
      <c r="W816" s="882"/>
      <c r="X816" s="882"/>
      <c r="Y816" s="882"/>
    </row>
    <row r="817" spans="1:25" x14ac:dyDescent="0.2">
      <c r="A817" s="881"/>
      <c r="B817" s="881"/>
      <c r="C817" s="881"/>
      <c r="D817" s="881"/>
      <c r="E817" s="881"/>
      <c r="R817" s="882"/>
      <c r="S817" s="882"/>
      <c r="T817" s="882"/>
      <c r="U817" s="882"/>
      <c r="V817" s="882"/>
      <c r="W817" s="882"/>
      <c r="X817" s="882"/>
      <c r="Y817" s="882"/>
    </row>
    <row r="818" spans="1:25" x14ac:dyDescent="0.2">
      <c r="A818" s="881"/>
      <c r="B818" s="881"/>
      <c r="C818" s="881"/>
      <c r="D818" s="881"/>
      <c r="E818" s="881"/>
      <c r="R818" s="882"/>
      <c r="S818" s="882"/>
      <c r="T818" s="882"/>
      <c r="U818" s="882"/>
      <c r="V818" s="882"/>
      <c r="W818" s="882"/>
      <c r="X818" s="882"/>
      <c r="Y818" s="882"/>
    </row>
    <row r="819" spans="1:25" x14ac:dyDescent="0.2">
      <c r="A819" s="881"/>
      <c r="B819" s="881"/>
      <c r="C819" s="881"/>
      <c r="D819" s="881"/>
      <c r="E819" s="881"/>
      <c r="R819" s="882"/>
      <c r="S819" s="882"/>
      <c r="T819" s="882"/>
      <c r="U819" s="882"/>
      <c r="V819" s="882"/>
      <c r="W819" s="882"/>
      <c r="X819" s="882"/>
      <c r="Y819" s="882"/>
    </row>
    <row r="820" spans="1:25" x14ac:dyDescent="0.2">
      <c r="A820" s="881"/>
      <c r="B820" s="881"/>
      <c r="C820" s="881"/>
      <c r="D820" s="881"/>
      <c r="E820" s="881"/>
      <c r="R820" s="882"/>
      <c r="S820" s="882"/>
      <c r="T820" s="882"/>
      <c r="U820" s="882"/>
      <c r="V820" s="882"/>
      <c r="W820" s="882"/>
      <c r="X820" s="882"/>
      <c r="Y820" s="882"/>
    </row>
    <row r="821" spans="1:25" x14ac:dyDescent="0.2">
      <c r="A821" s="881"/>
      <c r="B821" s="881"/>
      <c r="C821" s="881"/>
      <c r="D821" s="881"/>
      <c r="E821" s="881"/>
      <c r="R821" s="882"/>
      <c r="S821" s="882"/>
      <c r="T821" s="882"/>
      <c r="U821" s="882"/>
      <c r="V821" s="882"/>
      <c r="W821" s="882"/>
      <c r="X821" s="882"/>
      <c r="Y821" s="882"/>
    </row>
    <row r="822" spans="1:25" x14ac:dyDescent="0.2">
      <c r="A822" s="881"/>
      <c r="B822" s="881"/>
      <c r="C822" s="881"/>
      <c r="D822" s="881"/>
      <c r="E822" s="881"/>
      <c r="R822" s="882"/>
      <c r="S822" s="882"/>
      <c r="T822" s="882"/>
      <c r="U822" s="882"/>
      <c r="V822" s="882"/>
      <c r="W822" s="882"/>
      <c r="X822" s="882"/>
      <c r="Y822" s="882"/>
    </row>
    <row r="823" spans="1:25" x14ac:dyDescent="0.2">
      <c r="A823" s="881"/>
      <c r="B823" s="881"/>
      <c r="C823" s="881"/>
      <c r="D823" s="881"/>
      <c r="E823" s="881"/>
      <c r="R823" s="882"/>
      <c r="S823" s="882"/>
      <c r="T823" s="882"/>
      <c r="U823" s="882"/>
      <c r="V823" s="882"/>
      <c r="W823" s="882"/>
      <c r="X823" s="882"/>
      <c r="Y823" s="882"/>
    </row>
    <row r="824" spans="1:25" x14ac:dyDescent="0.2">
      <c r="A824" s="881"/>
      <c r="B824" s="881"/>
      <c r="C824" s="881"/>
      <c r="D824" s="881"/>
      <c r="E824" s="881"/>
      <c r="R824" s="882"/>
      <c r="S824" s="882"/>
      <c r="T824" s="882"/>
      <c r="U824" s="882"/>
      <c r="V824" s="882"/>
      <c r="W824" s="882"/>
      <c r="X824" s="882"/>
      <c r="Y824" s="882"/>
    </row>
    <row r="825" spans="1:25" x14ac:dyDescent="0.2">
      <c r="A825" s="881"/>
      <c r="B825" s="881"/>
      <c r="C825" s="881"/>
      <c r="D825" s="881"/>
      <c r="E825" s="881"/>
      <c r="R825" s="882"/>
      <c r="S825" s="882"/>
      <c r="T825" s="882"/>
      <c r="U825" s="882"/>
      <c r="V825" s="882"/>
      <c r="W825" s="882"/>
      <c r="X825" s="882"/>
      <c r="Y825" s="882"/>
    </row>
    <row r="826" spans="1:25" x14ac:dyDescent="0.2">
      <c r="A826" s="881"/>
      <c r="B826" s="881"/>
      <c r="C826" s="881"/>
      <c r="D826" s="881"/>
      <c r="E826" s="881"/>
      <c r="R826" s="882"/>
      <c r="S826" s="882"/>
      <c r="T826" s="882"/>
      <c r="U826" s="882"/>
      <c r="V826" s="882"/>
      <c r="W826" s="882"/>
      <c r="X826" s="882"/>
      <c r="Y826" s="882"/>
    </row>
    <row r="827" spans="1:25" x14ac:dyDescent="0.2">
      <c r="A827" s="881"/>
      <c r="B827" s="881"/>
      <c r="C827" s="881"/>
      <c r="D827" s="881"/>
      <c r="E827" s="881"/>
      <c r="R827" s="882"/>
      <c r="S827" s="882"/>
      <c r="T827" s="882"/>
      <c r="U827" s="882"/>
      <c r="V827" s="882"/>
      <c r="W827" s="882"/>
      <c r="X827" s="882"/>
      <c r="Y827" s="882"/>
    </row>
    <row r="828" spans="1:25" x14ac:dyDescent="0.2">
      <c r="A828" s="881"/>
      <c r="B828" s="881"/>
      <c r="C828" s="881"/>
      <c r="D828" s="881"/>
      <c r="E828" s="881"/>
      <c r="R828" s="882"/>
      <c r="S828" s="882"/>
      <c r="T828" s="882"/>
      <c r="U828" s="882"/>
      <c r="V828" s="882"/>
      <c r="W828" s="882"/>
      <c r="X828" s="882"/>
      <c r="Y828" s="882"/>
    </row>
    <row r="829" spans="1:25" x14ac:dyDescent="0.2">
      <c r="A829" s="881"/>
      <c r="B829" s="881"/>
      <c r="C829" s="881"/>
      <c r="D829" s="881"/>
      <c r="E829" s="881"/>
      <c r="R829" s="882"/>
      <c r="S829" s="882"/>
      <c r="T829" s="882"/>
      <c r="U829" s="882"/>
      <c r="V829" s="882"/>
      <c r="W829" s="882"/>
      <c r="X829" s="882"/>
      <c r="Y829" s="882"/>
    </row>
    <row r="830" spans="1:25" x14ac:dyDescent="0.2">
      <c r="A830" s="881"/>
      <c r="B830" s="881"/>
      <c r="C830" s="881"/>
      <c r="D830" s="881"/>
      <c r="E830" s="881"/>
      <c r="R830" s="882"/>
      <c r="S830" s="882"/>
      <c r="T830" s="882"/>
      <c r="U830" s="882"/>
      <c r="V830" s="882"/>
      <c r="W830" s="882"/>
      <c r="X830" s="882"/>
      <c r="Y830" s="882"/>
    </row>
    <row r="831" spans="1:25" x14ac:dyDescent="0.2">
      <c r="A831" s="881"/>
      <c r="B831" s="881"/>
      <c r="C831" s="881"/>
      <c r="D831" s="881"/>
      <c r="E831" s="881"/>
      <c r="R831" s="882"/>
      <c r="S831" s="882"/>
      <c r="T831" s="882"/>
      <c r="U831" s="882"/>
      <c r="V831" s="882"/>
      <c r="W831" s="882"/>
      <c r="X831" s="882"/>
      <c r="Y831" s="882"/>
    </row>
    <row r="832" spans="1:25" x14ac:dyDescent="0.2">
      <c r="A832" s="881"/>
      <c r="B832" s="881"/>
      <c r="C832" s="881"/>
      <c r="D832" s="881"/>
      <c r="E832" s="881"/>
      <c r="R832" s="882"/>
      <c r="S832" s="882"/>
      <c r="T832" s="882"/>
      <c r="U832" s="882"/>
      <c r="V832" s="882"/>
      <c r="W832" s="882"/>
      <c r="X832" s="882"/>
      <c r="Y832" s="882"/>
    </row>
    <row r="833" spans="1:25" x14ac:dyDescent="0.2">
      <c r="A833" s="881"/>
      <c r="B833" s="881"/>
      <c r="C833" s="881"/>
      <c r="D833" s="881"/>
      <c r="E833" s="881"/>
      <c r="R833" s="882"/>
      <c r="S833" s="882"/>
      <c r="T833" s="882"/>
      <c r="U833" s="882"/>
      <c r="V833" s="882"/>
      <c r="W833" s="882"/>
      <c r="X833" s="882"/>
      <c r="Y833" s="882"/>
    </row>
    <row r="834" spans="1:25" x14ac:dyDescent="0.2">
      <c r="A834" s="881"/>
      <c r="B834" s="881"/>
      <c r="C834" s="881"/>
      <c r="D834" s="881"/>
      <c r="E834" s="881"/>
      <c r="R834" s="882"/>
      <c r="S834" s="882"/>
      <c r="T834" s="882"/>
      <c r="U834" s="882"/>
      <c r="V834" s="882"/>
      <c r="W834" s="882"/>
      <c r="X834" s="882"/>
      <c r="Y834" s="882"/>
    </row>
    <row r="835" spans="1:25" x14ac:dyDescent="0.2">
      <c r="A835" s="881"/>
      <c r="B835" s="881"/>
      <c r="C835" s="881"/>
      <c r="D835" s="881"/>
      <c r="E835" s="881"/>
      <c r="R835" s="882"/>
      <c r="S835" s="882"/>
      <c r="T835" s="882"/>
      <c r="U835" s="882"/>
      <c r="V835" s="882"/>
      <c r="W835" s="882"/>
      <c r="X835" s="882"/>
      <c r="Y835" s="882"/>
    </row>
    <row r="836" spans="1:25" x14ac:dyDescent="0.2">
      <c r="A836" s="881"/>
      <c r="B836" s="881"/>
      <c r="C836" s="881"/>
      <c r="D836" s="881"/>
      <c r="E836" s="881"/>
      <c r="R836" s="882"/>
      <c r="S836" s="882"/>
      <c r="T836" s="882"/>
      <c r="U836" s="882"/>
      <c r="V836" s="882"/>
      <c r="W836" s="882"/>
      <c r="X836" s="882"/>
      <c r="Y836" s="882"/>
    </row>
    <row r="837" spans="1:25" x14ac:dyDescent="0.2">
      <c r="A837" s="881"/>
      <c r="B837" s="881"/>
      <c r="C837" s="881"/>
      <c r="D837" s="881"/>
      <c r="E837" s="881"/>
      <c r="R837" s="882"/>
      <c r="S837" s="882"/>
      <c r="T837" s="882"/>
      <c r="U837" s="882"/>
      <c r="V837" s="882"/>
      <c r="W837" s="882"/>
      <c r="X837" s="882"/>
      <c r="Y837" s="882"/>
    </row>
    <row r="838" spans="1:25" x14ac:dyDescent="0.2">
      <c r="A838" s="881"/>
      <c r="B838" s="881"/>
      <c r="C838" s="881"/>
      <c r="D838" s="881"/>
      <c r="E838" s="881"/>
      <c r="R838" s="882"/>
      <c r="S838" s="882"/>
      <c r="T838" s="882"/>
      <c r="U838" s="882"/>
      <c r="V838" s="882"/>
      <c r="W838" s="882"/>
      <c r="X838" s="882"/>
      <c r="Y838" s="882"/>
    </row>
    <row r="839" spans="1:25" x14ac:dyDescent="0.2">
      <c r="A839" s="881"/>
      <c r="B839" s="881"/>
      <c r="C839" s="881"/>
      <c r="D839" s="881"/>
      <c r="E839" s="881"/>
      <c r="R839" s="882"/>
      <c r="S839" s="882"/>
      <c r="T839" s="882"/>
      <c r="U839" s="882"/>
      <c r="V839" s="882"/>
      <c r="W839" s="882"/>
      <c r="X839" s="882"/>
      <c r="Y839" s="882"/>
    </row>
    <row r="840" spans="1:25" x14ac:dyDescent="0.2">
      <c r="A840" s="881"/>
      <c r="B840" s="881"/>
      <c r="C840" s="881"/>
      <c r="D840" s="881"/>
      <c r="E840" s="881"/>
      <c r="R840" s="882"/>
      <c r="S840" s="882"/>
      <c r="T840" s="882"/>
      <c r="U840" s="882"/>
      <c r="V840" s="882"/>
      <c r="W840" s="882"/>
      <c r="X840" s="882"/>
      <c r="Y840" s="882"/>
    </row>
    <row r="841" spans="1:25" x14ac:dyDescent="0.2">
      <c r="A841" s="881"/>
      <c r="B841" s="881"/>
      <c r="C841" s="881"/>
      <c r="D841" s="881"/>
      <c r="E841" s="881"/>
      <c r="R841" s="882"/>
      <c r="S841" s="882"/>
      <c r="T841" s="882"/>
      <c r="U841" s="882"/>
      <c r="V841" s="882"/>
      <c r="W841" s="882"/>
      <c r="X841" s="882"/>
      <c r="Y841" s="882"/>
    </row>
    <row r="842" spans="1:25" x14ac:dyDescent="0.2">
      <c r="A842" s="881"/>
      <c r="B842" s="881"/>
      <c r="C842" s="881"/>
      <c r="D842" s="881"/>
      <c r="E842" s="881"/>
      <c r="R842" s="882"/>
      <c r="S842" s="882"/>
      <c r="T842" s="882"/>
      <c r="U842" s="882"/>
      <c r="V842" s="882"/>
      <c r="W842" s="882"/>
      <c r="X842" s="882"/>
      <c r="Y842" s="882"/>
    </row>
    <row r="843" spans="1:25" x14ac:dyDescent="0.2">
      <c r="A843" s="881"/>
      <c r="B843" s="881"/>
      <c r="C843" s="881"/>
      <c r="D843" s="881"/>
      <c r="E843" s="881"/>
      <c r="R843" s="882"/>
      <c r="S843" s="882"/>
      <c r="T843" s="882"/>
      <c r="U843" s="882"/>
      <c r="V843" s="882"/>
      <c r="W843" s="882"/>
      <c r="X843" s="882"/>
      <c r="Y843" s="882"/>
    </row>
    <row r="844" spans="1:25" x14ac:dyDescent="0.2">
      <c r="A844" s="881"/>
      <c r="B844" s="881"/>
      <c r="C844" s="881"/>
      <c r="D844" s="881"/>
      <c r="E844" s="881"/>
      <c r="R844" s="882"/>
      <c r="S844" s="882"/>
      <c r="T844" s="882"/>
      <c r="U844" s="882"/>
      <c r="V844" s="882"/>
      <c r="W844" s="882"/>
      <c r="X844" s="882"/>
      <c r="Y844" s="882"/>
    </row>
    <row r="845" spans="1:25" x14ac:dyDescent="0.2">
      <c r="A845" s="881"/>
      <c r="B845" s="881"/>
      <c r="C845" s="881"/>
      <c r="D845" s="881"/>
      <c r="E845" s="881"/>
      <c r="R845" s="882"/>
      <c r="S845" s="882"/>
      <c r="T845" s="882"/>
      <c r="U845" s="882"/>
      <c r="V845" s="882"/>
      <c r="W845" s="882"/>
      <c r="X845" s="882"/>
      <c r="Y845" s="882"/>
    </row>
    <row r="846" spans="1:25" x14ac:dyDescent="0.2">
      <c r="A846" s="881"/>
      <c r="B846" s="881"/>
      <c r="C846" s="881"/>
      <c r="D846" s="881"/>
      <c r="E846" s="881"/>
      <c r="R846" s="882"/>
      <c r="S846" s="882"/>
      <c r="T846" s="882"/>
      <c r="U846" s="882"/>
      <c r="V846" s="882"/>
      <c r="W846" s="882"/>
      <c r="X846" s="882"/>
      <c r="Y846" s="882"/>
    </row>
    <row r="847" spans="1:25" x14ac:dyDescent="0.2">
      <c r="A847" s="881"/>
      <c r="B847" s="881"/>
      <c r="C847" s="881"/>
      <c r="D847" s="881"/>
      <c r="E847" s="881"/>
      <c r="R847" s="882"/>
      <c r="S847" s="882"/>
      <c r="T847" s="882"/>
      <c r="U847" s="882"/>
      <c r="V847" s="882"/>
      <c r="W847" s="882"/>
      <c r="X847" s="882"/>
      <c r="Y847" s="882"/>
    </row>
    <row r="848" spans="1:25" x14ac:dyDescent="0.2">
      <c r="A848" s="881"/>
      <c r="B848" s="881"/>
      <c r="C848" s="881"/>
      <c r="D848" s="881"/>
      <c r="E848" s="881"/>
      <c r="R848" s="882"/>
      <c r="S848" s="882"/>
      <c r="T848" s="882"/>
      <c r="U848" s="882"/>
      <c r="V848" s="882"/>
      <c r="W848" s="882"/>
      <c r="X848" s="882"/>
      <c r="Y848" s="882"/>
    </row>
    <row r="849" spans="1:25" x14ac:dyDescent="0.2">
      <c r="A849" s="881"/>
      <c r="B849" s="881"/>
      <c r="C849" s="881"/>
      <c r="D849" s="881"/>
      <c r="E849" s="881"/>
      <c r="R849" s="882"/>
      <c r="S849" s="882"/>
      <c r="T849" s="882"/>
      <c r="U849" s="882"/>
      <c r="V849" s="882"/>
      <c r="W849" s="882"/>
      <c r="X849" s="882"/>
      <c r="Y849" s="882"/>
    </row>
    <row r="850" spans="1:25" x14ac:dyDescent="0.2">
      <c r="A850" s="881"/>
      <c r="B850" s="881"/>
      <c r="C850" s="881"/>
      <c r="D850" s="881"/>
      <c r="E850" s="881"/>
      <c r="R850" s="882"/>
      <c r="S850" s="882"/>
      <c r="T850" s="882"/>
      <c r="U850" s="882"/>
      <c r="V850" s="882"/>
      <c r="W850" s="882"/>
      <c r="X850" s="882"/>
      <c r="Y850" s="882"/>
    </row>
    <row r="851" spans="1:25" x14ac:dyDescent="0.2">
      <c r="A851" s="881"/>
      <c r="B851" s="881"/>
      <c r="C851" s="881"/>
      <c r="D851" s="881"/>
      <c r="E851" s="881"/>
      <c r="R851" s="882"/>
      <c r="S851" s="882"/>
      <c r="T851" s="882"/>
      <c r="U851" s="882"/>
      <c r="V851" s="882"/>
      <c r="W851" s="882"/>
      <c r="X851" s="882"/>
      <c r="Y851" s="882"/>
    </row>
    <row r="852" spans="1:25" x14ac:dyDescent="0.2">
      <c r="A852" s="881"/>
      <c r="B852" s="881"/>
      <c r="C852" s="881"/>
      <c r="D852" s="881"/>
      <c r="E852" s="881"/>
      <c r="R852" s="882"/>
      <c r="S852" s="882"/>
      <c r="T852" s="882"/>
      <c r="U852" s="882"/>
      <c r="V852" s="882"/>
      <c r="W852" s="882"/>
      <c r="X852" s="882"/>
      <c r="Y852" s="882"/>
    </row>
    <row r="853" spans="1:25" x14ac:dyDescent="0.2">
      <c r="A853" s="881"/>
      <c r="B853" s="881"/>
      <c r="C853" s="881"/>
      <c r="D853" s="881"/>
      <c r="E853" s="881"/>
      <c r="R853" s="882"/>
      <c r="S853" s="882"/>
      <c r="T853" s="882"/>
      <c r="U853" s="882"/>
      <c r="V853" s="882"/>
      <c r="W853" s="882"/>
      <c r="X853" s="882"/>
      <c r="Y853" s="882"/>
    </row>
    <row r="854" spans="1:25" x14ac:dyDescent="0.2">
      <c r="A854" s="881"/>
      <c r="B854" s="881"/>
      <c r="C854" s="881"/>
      <c r="D854" s="881"/>
      <c r="E854" s="881"/>
      <c r="R854" s="882"/>
      <c r="S854" s="882"/>
      <c r="T854" s="882"/>
      <c r="U854" s="882"/>
      <c r="V854" s="882"/>
      <c r="W854" s="882"/>
      <c r="X854" s="882"/>
      <c r="Y854" s="882"/>
    </row>
    <row r="855" spans="1:25" x14ac:dyDescent="0.2">
      <c r="A855" s="881"/>
      <c r="B855" s="881"/>
      <c r="C855" s="881"/>
      <c r="D855" s="881"/>
      <c r="E855" s="881"/>
      <c r="R855" s="882"/>
      <c r="S855" s="882"/>
      <c r="T855" s="882"/>
      <c r="U855" s="882"/>
      <c r="V855" s="882"/>
      <c r="W855" s="882"/>
      <c r="X855" s="882"/>
      <c r="Y855" s="882"/>
    </row>
    <row r="856" spans="1:25" x14ac:dyDescent="0.2">
      <c r="A856" s="881"/>
      <c r="B856" s="881"/>
      <c r="C856" s="881"/>
      <c r="D856" s="881"/>
      <c r="E856" s="881"/>
      <c r="R856" s="882"/>
      <c r="S856" s="882"/>
      <c r="T856" s="882"/>
      <c r="U856" s="882"/>
      <c r="V856" s="882"/>
      <c r="W856" s="882"/>
      <c r="X856" s="882"/>
      <c r="Y856" s="882"/>
    </row>
    <row r="857" spans="1:25" x14ac:dyDescent="0.2">
      <c r="A857" s="881"/>
      <c r="B857" s="881"/>
      <c r="C857" s="881"/>
      <c r="D857" s="881"/>
      <c r="E857" s="881"/>
      <c r="R857" s="882"/>
      <c r="S857" s="882"/>
      <c r="T857" s="882"/>
      <c r="U857" s="882"/>
      <c r="V857" s="882"/>
      <c r="W857" s="882"/>
      <c r="X857" s="882"/>
      <c r="Y857" s="882"/>
    </row>
    <row r="858" spans="1:25" x14ac:dyDescent="0.2">
      <c r="A858" s="881"/>
      <c r="B858" s="881"/>
      <c r="C858" s="881"/>
      <c r="D858" s="881"/>
      <c r="E858" s="881"/>
      <c r="R858" s="882"/>
      <c r="S858" s="882"/>
      <c r="T858" s="882"/>
      <c r="U858" s="882"/>
      <c r="V858" s="882"/>
      <c r="W858" s="882"/>
      <c r="X858" s="882"/>
      <c r="Y858" s="882"/>
    </row>
    <row r="859" spans="1:25" x14ac:dyDescent="0.2">
      <c r="A859" s="881"/>
      <c r="B859" s="881"/>
      <c r="C859" s="881"/>
      <c r="D859" s="881"/>
      <c r="E859" s="881"/>
      <c r="R859" s="882"/>
      <c r="S859" s="882"/>
      <c r="T859" s="882"/>
      <c r="U859" s="882"/>
      <c r="V859" s="882"/>
      <c r="W859" s="882"/>
      <c r="X859" s="882"/>
      <c r="Y859" s="882"/>
    </row>
    <row r="860" spans="1:25" x14ac:dyDescent="0.2">
      <c r="A860" s="881"/>
      <c r="B860" s="881"/>
      <c r="C860" s="881"/>
      <c r="D860" s="881"/>
      <c r="E860" s="881"/>
      <c r="R860" s="882"/>
      <c r="S860" s="882"/>
      <c r="T860" s="882"/>
      <c r="U860" s="882"/>
      <c r="V860" s="882"/>
      <c r="W860" s="882"/>
      <c r="X860" s="882"/>
      <c r="Y860" s="882"/>
    </row>
    <row r="861" spans="1:25" x14ac:dyDescent="0.2">
      <c r="A861" s="881"/>
      <c r="B861" s="881"/>
      <c r="C861" s="881"/>
      <c r="D861" s="881"/>
      <c r="E861" s="881"/>
      <c r="R861" s="882"/>
      <c r="S861" s="882"/>
      <c r="T861" s="882"/>
      <c r="U861" s="882"/>
      <c r="V861" s="882"/>
      <c r="W861" s="882"/>
      <c r="X861" s="882"/>
      <c r="Y861" s="882"/>
    </row>
    <row r="862" spans="1:25" x14ac:dyDescent="0.2">
      <c r="A862" s="881"/>
      <c r="B862" s="881"/>
      <c r="C862" s="881"/>
      <c r="D862" s="881"/>
      <c r="E862" s="881"/>
      <c r="R862" s="882"/>
      <c r="S862" s="882"/>
      <c r="T862" s="882"/>
      <c r="U862" s="882"/>
      <c r="V862" s="882"/>
      <c r="W862" s="882"/>
      <c r="X862" s="882"/>
      <c r="Y862" s="882"/>
    </row>
    <row r="863" spans="1:25" x14ac:dyDescent="0.2">
      <c r="A863" s="881"/>
      <c r="B863" s="881"/>
      <c r="C863" s="881"/>
      <c r="D863" s="881"/>
      <c r="E863" s="881"/>
      <c r="R863" s="882"/>
      <c r="S863" s="882"/>
      <c r="T863" s="882"/>
      <c r="U863" s="882"/>
      <c r="V863" s="882"/>
      <c r="W863" s="882"/>
      <c r="X863" s="882"/>
      <c r="Y863" s="882"/>
    </row>
    <row r="864" spans="1:25" x14ac:dyDescent="0.2">
      <c r="A864" s="881"/>
      <c r="B864" s="881"/>
      <c r="C864" s="881"/>
      <c r="D864" s="881"/>
      <c r="E864" s="881"/>
      <c r="R864" s="882"/>
      <c r="S864" s="882"/>
      <c r="T864" s="882"/>
      <c r="U864" s="882"/>
      <c r="V864" s="882"/>
      <c r="W864" s="882"/>
      <c r="X864" s="882"/>
      <c r="Y864" s="882"/>
    </row>
    <row r="865" spans="1:25" x14ac:dyDescent="0.2">
      <c r="A865" s="881"/>
      <c r="B865" s="881"/>
      <c r="C865" s="881"/>
      <c r="D865" s="881"/>
      <c r="E865" s="881"/>
      <c r="R865" s="882"/>
      <c r="S865" s="882"/>
      <c r="T865" s="882"/>
      <c r="U865" s="882"/>
      <c r="V865" s="882"/>
      <c r="W865" s="882"/>
      <c r="X865" s="882"/>
      <c r="Y865" s="882"/>
    </row>
    <row r="866" spans="1:25" x14ac:dyDescent="0.2">
      <c r="A866" s="881"/>
      <c r="B866" s="881"/>
      <c r="C866" s="881"/>
      <c r="D866" s="881"/>
      <c r="E866" s="881"/>
      <c r="R866" s="882"/>
      <c r="S866" s="882"/>
      <c r="T866" s="882"/>
      <c r="U866" s="882"/>
      <c r="V866" s="882"/>
      <c r="W866" s="882"/>
      <c r="X866" s="882"/>
      <c r="Y866" s="882"/>
    </row>
    <row r="867" spans="1:25" x14ac:dyDescent="0.2">
      <c r="A867" s="881"/>
      <c r="B867" s="881"/>
      <c r="C867" s="881"/>
      <c r="D867" s="881"/>
      <c r="E867" s="881"/>
      <c r="R867" s="882"/>
      <c r="S867" s="882"/>
      <c r="T867" s="882"/>
      <c r="U867" s="882"/>
      <c r="V867" s="882"/>
      <c r="W867" s="882"/>
      <c r="X867" s="882"/>
      <c r="Y867" s="882"/>
    </row>
    <row r="868" spans="1:25" x14ac:dyDescent="0.2">
      <c r="A868" s="881"/>
      <c r="B868" s="881"/>
      <c r="C868" s="881"/>
      <c r="D868" s="881"/>
      <c r="E868" s="881"/>
      <c r="R868" s="882"/>
      <c r="S868" s="882"/>
      <c r="T868" s="882"/>
      <c r="U868" s="882"/>
      <c r="V868" s="882"/>
      <c r="W868" s="882"/>
      <c r="X868" s="882"/>
      <c r="Y868" s="882"/>
    </row>
    <row r="869" spans="1:25" x14ac:dyDescent="0.2">
      <c r="A869" s="881"/>
      <c r="B869" s="881"/>
      <c r="C869" s="881"/>
      <c r="D869" s="881"/>
      <c r="E869" s="881"/>
      <c r="R869" s="882"/>
      <c r="S869" s="882"/>
      <c r="T869" s="882"/>
      <c r="U869" s="882"/>
      <c r="V869" s="882"/>
      <c r="W869" s="882"/>
      <c r="X869" s="882"/>
      <c r="Y869" s="882"/>
    </row>
    <row r="870" spans="1:25" x14ac:dyDescent="0.2">
      <c r="A870" s="881"/>
      <c r="B870" s="881"/>
      <c r="C870" s="881"/>
      <c r="D870" s="881"/>
      <c r="E870" s="881"/>
      <c r="R870" s="882"/>
      <c r="S870" s="882"/>
      <c r="T870" s="882"/>
      <c r="U870" s="882"/>
      <c r="V870" s="882"/>
      <c r="W870" s="882"/>
      <c r="X870" s="882"/>
      <c r="Y870" s="882"/>
    </row>
    <row r="871" spans="1:25" x14ac:dyDescent="0.2">
      <c r="A871" s="881"/>
      <c r="B871" s="881"/>
      <c r="C871" s="881"/>
      <c r="D871" s="881"/>
      <c r="E871" s="881"/>
      <c r="R871" s="882"/>
      <c r="S871" s="882"/>
      <c r="T871" s="882"/>
      <c r="U871" s="882"/>
      <c r="V871" s="882"/>
      <c r="W871" s="882"/>
      <c r="X871" s="882"/>
      <c r="Y871" s="882"/>
    </row>
    <row r="872" spans="1:25" x14ac:dyDescent="0.2">
      <c r="A872" s="881"/>
      <c r="B872" s="881"/>
      <c r="C872" s="881"/>
      <c r="D872" s="881"/>
      <c r="E872" s="881"/>
      <c r="R872" s="882"/>
      <c r="S872" s="882"/>
      <c r="T872" s="882"/>
      <c r="U872" s="882"/>
      <c r="V872" s="882"/>
      <c r="W872" s="882"/>
      <c r="X872" s="882"/>
      <c r="Y872" s="882"/>
    </row>
    <row r="873" spans="1:25" x14ac:dyDescent="0.2">
      <c r="A873" s="881"/>
      <c r="B873" s="881"/>
      <c r="C873" s="881"/>
      <c r="D873" s="881"/>
      <c r="E873" s="881"/>
      <c r="R873" s="882"/>
      <c r="S873" s="882"/>
      <c r="T873" s="882"/>
      <c r="U873" s="882"/>
      <c r="V873" s="882"/>
      <c r="W873" s="882"/>
      <c r="X873" s="882"/>
      <c r="Y873" s="882"/>
    </row>
    <row r="874" spans="1:25" x14ac:dyDescent="0.2">
      <c r="A874" s="881"/>
      <c r="B874" s="881"/>
      <c r="C874" s="881"/>
      <c r="D874" s="881"/>
      <c r="E874" s="881"/>
      <c r="R874" s="882"/>
      <c r="S874" s="882"/>
      <c r="T874" s="882"/>
      <c r="U874" s="882"/>
      <c r="V874" s="882"/>
      <c r="W874" s="882"/>
      <c r="X874" s="882"/>
      <c r="Y874" s="882"/>
    </row>
    <row r="875" spans="1:25" x14ac:dyDescent="0.2">
      <c r="A875" s="881"/>
      <c r="B875" s="881"/>
      <c r="C875" s="881"/>
      <c r="D875" s="881"/>
      <c r="E875" s="881"/>
      <c r="R875" s="882"/>
      <c r="S875" s="882"/>
      <c r="T875" s="882"/>
      <c r="U875" s="882"/>
      <c r="V875" s="882"/>
      <c r="W875" s="882"/>
      <c r="X875" s="882"/>
      <c r="Y875" s="882"/>
    </row>
    <row r="876" spans="1:25" x14ac:dyDescent="0.2">
      <c r="A876" s="881"/>
      <c r="B876" s="881"/>
      <c r="C876" s="881"/>
      <c r="D876" s="881"/>
      <c r="E876" s="881"/>
      <c r="R876" s="882"/>
      <c r="S876" s="882"/>
      <c r="T876" s="882"/>
      <c r="U876" s="882"/>
      <c r="V876" s="882"/>
      <c r="W876" s="882"/>
      <c r="X876" s="882"/>
      <c r="Y876" s="882"/>
    </row>
    <row r="877" spans="1:25" x14ac:dyDescent="0.2">
      <c r="A877" s="881"/>
      <c r="B877" s="881"/>
      <c r="C877" s="881"/>
      <c r="D877" s="881"/>
      <c r="E877" s="881"/>
      <c r="R877" s="882"/>
      <c r="S877" s="882"/>
      <c r="T877" s="882"/>
      <c r="U877" s="882"/>
      <c r="V877" s="882"/>
      <c r="W877" s="882"/>
      <c r="X877" s="882"/>
      <c r="Y877" s="882"/>
    </row>
    <row r="878" spans="1:25" x14ac:dyDescent="0.2">
      <c r="A878" s="881"/>
      <c r="B878" s="881"/>
      <c r="C878" s="881"/>
      <c r="D878" s="881"/>
      <c r="E878" s="881"/>
      <c r="R878" s="882"/>
      <c r="S878" s="882"/>
      <c r="T878" s="882"/>
      <c r="U878" s="882"/>
      <c r="V878" s="882"/>
      <c r="W878" s="882"/>
      <c r="X878" s="882"/>
      <c r="Y878" s="882"/>
    </row>
    <row r="879" spans="1:25" x14ac:dyDescent="0.2">
      <c r="A879" s="881"/>
      <c r="B879" s="881"/>
      <c r="C879" s="881"/>
      <c r="D879" s="881"/>
      <c r="E879" s="881"/>
      <c r="R879" s="882"/>
      <c r="S879" s="882"/>
      <c r="T879" s="882"/>
      <c r="U879" s="882"/>
      <c r="V879" s="882"/>
      <c r="W879" s="882"/>
      <c r="X879" s="882"/>
      <c r="Y879" s="882"/>
    </row>
    <row r="880" spans="1:25" x14ac:dyDescent="0.2">
      <c r="A880" s="881"/>
      <c r="B880" s="881"/>
      <c r="C880" s="881"/>
      <c r="D880" s="881"/>
      <c r="E880" s="881"/>
      <c r="R880" s="882"/>
      <c r="S880" s="882"/>
      <c r="T880" s="882"/>
      <c r="U880" s="882"/>
      <c r="V880" s="882"/>
      <c r="W880" s="882"/>
      <c r="X880" s="882"/>
      <c r="Y880" s="882"/>
    </row>
    <row r="881" spans="1:25" x14ac:dyDescent="0.2">
      <c r="A881" s="881"/>
      <c r="B881" s="881"/>
      <c r="C881" s="881"/>
      <c r="D881" s="881"/>
      <c r="E881" s="881"/>
      <c r="R881" s="882"/>
      <c r="S881" s="882"/>
      <c r="T881" s="882"/>
      <c r="U881" s="882"/>
      <c r="V881" s="882"/>
      <c r="W881" s="882"/>
      <c r="X881" s="882"/>
      <c r="Y881" s="882"/>
    </row>
    <row r="882" spans="1:25" x14ac:dyDescent="0.2">
      <c r="A882" s="881"/>
      <c r="B882" s="881"/>
      <c r="C882" s="881"/>
      <c r="D882" s="881"/>
      <c r="E882" s="881"/>
      <c r="R882" s="882"/>
      <c r="S882" s="882"/>
      <c r="T882" s="882"/>
      <c r="U882" s="882"/>
      <c r="V882" s="882"/>
      <c r="W882" s="882"/>
      <c r="X882" s="882"/>
      <c r="Y882" s="882"/>
    </row>
    <row r="883" spans="1:25" x14ac:dyDescent="0.2">
      <c r="A883" s="881"/>
      <c r="B883" s="881"/>
      <c r="C883" s="881"/>
      <c r="D883" s="881"/>
      <c r="E883" s="881"/>
      <c r="R883" s="882"/>
      <c r="S883" s="882"/>
      <c r="T883" s="882"/>
      <c r="U883" s="882"/>
      <c r="V883" s="882"/>
      <c r="W883" s="882"/>
      <c r="X883" s="882"/>
      <c r="Y883" s="882"/>
    </row>
    <row r="884" spans="1:25" x14ac:dyDescent="0.2">
      <c r="A884" s="881"/>
      <c r="B884" s="881"/>
      <c r="C884" s="881"/>
      <c r="D884" s="881"/>
      <c r="E884" s="881"/>
      <c r="R884" s="882"/>
      <c r="S884" s="882"/>
      <c r="T884" s="882"/>
      <c r="U884" s="882"/>
      <c r="V884" s="882"/>
      <c r="W884" s="882"/>
      <c r="X884" s="882"/>
      <c r="Y884" s="882"/>
    </row>
    <row r="885" spans="1:25" x14ac:dyDescent="0.2">
      <c r="A885" s="881"/>
      <c r="B885" s="881"/>
      <c r="C885" s="881"/>
      <c r="D885" s="881"/>
      <c r="E885" s="881"/>
      <c r="R885" s="882"/>
      <c r="S885" s="882"/>
      <c r="T885" s="882"/>
      <c r="U885" s="882"/>
      <c r="V885" s="882"/>
      <c r="W885" s="882"/>
      <c r="X885" s="882"/>
      <c r="Y885" s="882"/>
    </row>
    <row r="886" spans="1:25" x14ac:dyDescent="0.2">
      <c r="A886" s="881"/>
      <c r="B886" s="881"/>
      <c r="C886" s="881"/>
      <c r="D886" s="881"/>
      <c r="E886" s="881"/>
      <c r="R886" s="882"/>
      <c r="S886" s="882"/>
      <c r="T886" s="882"/>
      <c r="U886" s="882"/>
      <c r="V886" s="882"/>
      <c r="W886" s="882"/>
      <c r="X886" s="882"/>
      <c r="Y886" s="882"/>
    </row>
    <row r="887" spans="1:25" x14ac:dyDescent="0.2">
      <c r="A887" s="881"/>
      <c r="B887" s="881"/>
      <c r="C887" s="881"/>
      <c r="D887" s="881"/>
      <c r="E887" s="881"/>
      <c r="R887" s="882"/>
      <c r="S887" s="882"/>
      <c r="T887" s="882"/>
      <c r="U887" s="882"/>
      <c r="V887" s="882"/>
      <c r="W887" s="882"/>
      <c r="X887" s="882"/>
      <c r="Y887" s="882"/>
    </row>
    <row r="888" spans="1:25" x14ac:dyDescent="0.2">
      <c r="A888" s="881"/>
      <c r="B888" s="881"/>
      <c r="C888" s="881"/>
      <c r="D888" s="881"/>
      <c r="E888" s="881"/>
      <c r="R888" s="882"/>
      <c r="S888" s="882"/>
      <c r="T888" s="882"/>
      <c r="U888" s="882"/>
      <c r="V888" s="882"/>
      <c r="W888" s="882"/>
      <c r="X888" s="882"/>
      <c r="Y888" s="882"/>
    </row>
    <row r="889" spans="1:25" x14ac:dyDescent="0.2">
      <c r="A889" s="881"/>
      <c r="B889" s="881"/>
      <c r="C889" s="881"/>
      <c r="D889" s="881"/>
      <c r="E889" s="881"/>
      <c r="R889" s="882"/>
      <c r="S889" s="882"/>
      <c r="T889" s="882"/>
      <c r="U889" s="882"/>
      <c r="V889" s="882"/>
      <c r="W889" s="882"/>
      <c r="X889" s="882"/>
      <c r="Y889" s="882"/>
    </row>
    <row r="890" spans="1:25" x14ac:dyDescent="0.2">
      <c r="A890" s="881"/>
      <c r="B890" s="881"/>
      <c r="C890" s="881"/>
      <c r="D890" s="881"/>
      <c r="E890" s="881"/>
      <c r="R890" s="882"/>
      <c r="S890" s="882"/>
      <c r="T890" s="882"/>
      <c r="U890" s="882"/>
      <c r="V890" s="882"/>
      <c r="W890" s="882"/>
      <c r="X890" s="882"/>
      <c r="Y890" s="882"/>
    </row>
    <row r="891" spans="1:25" x14ac:dyDescent="0.2">
      <c r="A891" s="881"/>
      <c r="B891" s="881"/>
      <c r="C891" s="881"/>
      <c r="D891" s="881"/>
      <c r="E891" s="881"/>
      <c r="R891" s="882"/>
      <c r="S891" s="882"/>
      <c r="T891" s="882"/>
      <c r="U891" s="882"/>
      <c r="V891" s="882"/>
      <c r="W891" s="882"/>
      <c r="X891" s="882"/>
      <c r="Y891" s="882"/>
    </row>
    <row r="892" spans="1:25" x14ac:dyDescent="0.2">
      <c r="A892" s="881"/>
      <c r="B892" s="881"/>
      <c r="C892" s="881"/>
      <c r="D892" s="881"/>
      <c r="E892" s="881"/>
      <c r="R892" s="882"/>
      <c r="S892" s="882"/>
      <c r="T892" s="882"/>
      <c r="U892" s="882"/>
      <c r="V892" s="882"/>
      <c r="W892" s="882"/>
      <c r="X892" s="882"/>
      <c r="Y892" s="882"/>
    </row>
    <row r="893" spans="1:25" x14ac:dyDescent="0.2">
      <c r="A893" s="881"/>
      <c r="B893" s="881"/>
      <c r="C893" s="881"/>
      <c r="D893" s="881"/>
      <c r="E893" s="881"/>
      <c r="R893" s="882"/>
      <c r="S893" s="882"/>
      <c r="T893" s="882"/>
      <c r="U893" s="882"/>
      <c r="V893" s="882"/>
      <c r="W893" s="882"/>
      <c r="X893" s="882"/>
      <c r="Y893" s="882"/>
    </row>
    <row r="894" spans="1:25" x14ac:dyDescent="0.2">
      <c r="A894" s="881"/>
      <c r="B894" s="881"/>
      <c r="C894" s="881"/>
      <c r="D894" s="881"/>
      <c r="E894" s="881"/>
      <c r="R894" s="882"/>
      <c r="S894" s="882"/>
      <c r="T894" s="882"/>
      <c r="U894" s="882"/>
      <c r="V894" s="882"/>
      <c r="W894" s="882"/>
      <c r="X894" s="882"/>
      <c r="Y894" s="882"/>
    </row>
    <row r="895" spans="1:25" x14ac:dyDescent="0.2">
      <c r="A895" s="881"/>
      <c r="B895" s="881"/>
      <c r="C895" s="881"/>
      <c r="D895" s="881"/>
      <c r="E895" s="881"/>
      <c r="R895" s="882"/>
      <c r="S895" s="882"/>
      <c r="T895" s="882"/>
      <c r="U895" s="882"/>
      <c r="V895" s="882"/>
      <c r="W895" s="882"/>
      <c r="X895" s="882"/>
      <c r="Y895" s="882"/>
    </row>
    <row r="896" spans="1:25" x14ac:dyDescent="0.2">
      <c r="A896" s="881"/>
      <c r="B896" s="881"/>
      <c r="C896" s="881"/>
      <c r="D896" s="881"/>
      <c r="E896" s="881"/>
      <c r="R896" s="882"/>
      <c r="S896" s="882"/>
      <c r="T896" s="882"/>
      <c r="U896" s="882"/>
      <c r="V896" s="882"/>
      <c r="W896" s="882"/>
      <c r="X896" s="882"/>
      <c r="Y896" s="882"/>
    </row>
    <row r="897" spans="1:25" x14ac:dyDescent="0.2">
      <c r="A897" s="881"/>
      <c r="B897" s="881"/>
      <c r="C897" s="881"/>
      <c r="D897" s="881"/>
      <c r="E897" s="881"/>
      <c r="R897" s="882"/>
      <c r="S897" s="882"/>
      <c r="T897" s="882"/>
      <c r="U897" s="882"/>
      <c r="V897" s="882"/>
      <c r="W897" s="882"/>
      <c r="X897" s="882"/>
      <c r="Y897" s="882"/>
    </row>
    <row r="898" spans="1:25" x14ac:dyDescent="0.2">
      <c r="A898" s="881"/>
      <c r="B898" s="881"/>
      <c r="C898" s="881"/>
      <c r="D898" s="881"/>
      <c r="E898" s="881"/>
      <c r="R898" s="882"/>
      <c r="S898" s="882"/>
      <c r="T898" s="882"/>
      <c r="U898" s="882"/>
      <c r="V898" s="882"/>
      <c r="W898" s="882"/>
      <c r="X898" s="882"/>
      <c r="Y898" s="882"/>
    </row>
    <row r="899" spans="1:25" x14ac:dyDescent="0.2">
      <c r="A899" s="881"/>
      <c r="B899" s="881"/>
      <c r="C899" s="881"/>
      <c r="D899" s="881"/>
      <c r="E899" s="881"/>
      <c r="R899" s="882"/>
      <c r="S899" s="882"/>
      <c r="T899" s="882"/>
      <c r="U899" s="882"/>
      <c r="V899" s="882"/>
      <c r="W899" s="882"/>
      <c r="X899" s="882"/>
      <c r="Y899" s="882"/>
    </row>
    <row r="900" spans="1:25" x14ac:dyDescent="0.2">
      <c r="A900" s="881"/>
      <c r="B900" s="881"/>
      <c r="C900" s="881"/>
      <c r="D900" s="881"/>
      <c r="E900" s="881"/>
      <c r="R900" s="882"/>
      <c r="S900" s="882"/>
      <c r="T900" s="882"/>
      <c r="U900" s="882"/>
      <c r="V900" s="882"/>
      <c r="W900" s="882"/>
      <c r="X900" s="882"/>
      <c r="Y900" s="882"/>
    </row>
    <row r="901" spans="1:25" x14ac:dyDescent="0.2">
      <c r="A901" s="881"/>
      <c r="B901" s="881"/>
      <c r="C901" s="881"/>
      <c r="D901" s="881"/>
      <c r="E901" s="881"/>
      <c r="R901" s="882"/>
      <c r="S901" s="882"/>
      <c r="T901" s="882"/>
      <c r="U901" s="882"/>
      <c r="V901" s="882"/>
      <c r="W901" s="882"/>
      <c r="X901" s="882"/>
      <c r="Y901" s="882"/>
    </row>
    <row r="902" spans="1:25" x14ac:dyDescent="0.2">
      <c r="A902" s="881"/>
      <c r="B902" s="881"/>
      <c r="C902" s="881"/>
      <c r="D902" s="881"/>
      <c r="E902" s="881"/>
      <c r="R902" s="882"/>
      <c r="S902" s="882"/>
      <c r="T902" s="882"/>
      <c r="U902" s="882"/>
      <c r="V902" s="882"/>
      <c r="W902" s="882"/>
      <c r="X902" s="882"/>
      <c r="Y902" s="882"/>
    </row>
    <row r="903" spans="1:25" x14ac:dyDescent="0.2">
      <c r="A903" s="881"/>
      <c r="B903" s="881"/>
      <c r="C903" s="881"/>
      <c r="D903" s="881"/>
      <c r="E903" s="881"/>
      <c r="R903" s="882"/>
      <c r="S903" s="882"/>
      <c r="T903" s="882"/>
      <c r="U903" s="882"/>
      <c r="V903" s="882"/>
      <c r="W903" s="882"/>
      <c r="X903" s="882"/>
      <c r="Y903" s="882"/>
    </row>
    <row r="904" spans="1:25" x14ac:dyDescent="0.2">
      <c r="A904" s="881"/>
      <c r="B904" s="881"/>
      <c r="C904" s="881"/>
      <c r="D904" s="881"/>
      <c r="E904" s="881"/>
      <c r="R904" s="882"/>
      <c r="S904" s="882"/>
      <c r="T904" s="882"/>
      <c r="U904" s="882"/>
      <c r="V904" s="882"/>
      <c r="W904" s="882"/>
      <c r="X904" s="882"/>
      <c r="Y904" s="882"/>
    </row>
    <row r="905" spans="1:25" x14ac:dyDescent="0.2">
      <c r="A905" s="881"/>
      <c r="B905" s="881"/>
      <c r="C905" s="881"/>
      <c r="D905" s="881"/>
      <c r="E905" s="881"/>
      <c r="R905" s="882"/>
      <c r="S905" s="882"/>
      <c r="T905" s="882"/>
      <c r="U905" s="882"/>
      <c r="V905" s="882"/>
      <c r="W905" s="882"/>
      <c r="X905" s="882"/>
      <c r="Y905" s="882"/>
    </row>
    <row r="906" spans="1:25" x14ac:dyDescent="0.2">
      <c r="A906" s="881"/>
      <c r="B906" s="881"/>
      <c r="C906" s="881"/>
      <c r="D906" s="881"/>
      <c r="E906" s="881"/>
      <c r="R906" s="882"/>
      <c r="S906" s="882"/>
      <c r="T906" s="882"/>
      <c r="U906" s="882"/>
      <c r="V906" s="882"/>
      <c r="W906" s="882"/>
      <c r="X906" s="882"/>
      <c r="Y906" s="882"/>
    </row>
    <row r="907" spans="1:25" x14ac:dyDescent="0.2">
      <c r="A907" s="881"/>
      <c r="B907" s="881"/>
      <c r="C907" s="881"/>
      <c r="D907" s="881"/>
      <c r="E907" s="881"/>
      <c r="R907" s="882"/>
      <c r="S907" s="882"/>
      <c r="T907" s="882"/>
      <c r="U907" s="882"/>
      <c r="V907" s="882"/>
      <c r="W907" s="882"/>
      <c r="X907" s="882"/>
      <c r="Y907" s="882"/>
    </row>
    <row r="908" spans="1:25" x14ac:dyDescent="0.2">
      <c r="A908" s="881"/>
      <c r="B908" s="881"/>
      <c r="C908" s="881"/>
      <c r="D908" s="881"/>
      <c r="E908" s="881"/>
      <c r="R908" s="882"/>
      <c r="S908" s="882"/>
      <c r="T908" s="882"/>
      <c r="U908" s="882"/>
      <c r="V908" s="882"/>
      <c r="W908" s="882"/>
      <c r="X908" s="882"/>
      <c r="Y908" s="882"/>
    </row>
    <row r="909" spans="1:25" x14ac:dyDescent="0.2">
      <c r="A909" s="881"/>
      <c r="B909" s="881"/>
      <c r="C909" s="881"/>
      <c r="D909" s="881"/>
      <c r="E909" s="881"/>
      <c r="R909" s="882"/>
      <c r="S909" s="882"/>
      <c r="T909" s="882"/>
      <c r="U909" s="882"/>
      <c r="V909" s="882"/>
      <c r="W909" s="882"/>
      <c r="X909" s="882"/>
      <c r="Y909" s="882"/>
    </row>
    <row r="910" spans="1:25" x14ac:dyDescent="0.2">
      <c r="A910" s="881"/>
      <c r="B910" s="881"/>
      <c r="C910" s="881"/>
      <c r="D910" s="881"/>
      <c r="E910" s="881"/>
      <c r="R910" s="882"/>
      <c r="S910" s="882"/>
      <c r="T910" s="882"/>
      <c r="U910" s="882"/>
      <c r="V910" s="882"/>
      <c r="W910" s="882"/>
      <c r="X910" s="882"/>
      <c r="Y910" s="882"/>
    </row>
    <row r="911" spans="1:25" x14ac:dyDescent="0.2">
      <c r="A911" s="881"/>
      <c r="B911" s="881"/>
      <c r="C911" s="881"/>
      <c r="D911" s="881"/>
      <c r="E911" s="881"/>
      <c r="R911" s="882"/>
      <c r="S911" s="882"/>
      <c r="T911" s="882"/>
      <c r="U911" s="882"/>
      <c r="V911" s="882"/>
      <c r="W911" s="882"/>
      <c r="X911" s="882"/>
      <c r="Y911" s="882"/>
    </row>
    <row r="912" spans="1:25" x14ac:dyDescent="0.2">
      <c r="A912" s="881"/>
      <c r="B912" s="881"/>
      <c r="C912" s="881"/>
      <c r="D912" s="881"/>
      <c r="E912" s="881"/>
      <c r="R912" s="882"/>
      <c r="S912" s="882"/>
      <c r="T912" s="882"/>
      <c r="U912" s="882"/>
      <c r="V912" s="882"/>
      <c r="W912" s="882"/>
      <c r="X912" s="882"/>
      <c r="Y912" s="882"/>
    </row>
    <row r="913" spans="1:25" x14ac:dyDescent="0.2">
      <c r="A913" s="881"/>
      <c r="B913" s="881"/>
      <c r="C913" s="881"/>
      <c r="D913" s="881"/>
      <c r="E913" s="881"/>
      <c r="R913" s="882"/>
      <c r="S913" s="882"/>
      <c r="T913" s="882"/>
      <c r="U913" s="882"/>
      <c r="V913" s="882"/>
      <c r="W913" s="882"/>
      <c r="X913" s="882"/>
      <c r="Y913" s="882"/>
    </row>
    <row r="914" spans="1:25" x14ac:dyDescent="0.2">
      <c r="A914" s="881"/>
      <c r="B914" s="881"/>
      <c r="C914" s="881"/>
      <c r="D914" s="881"/>
      <c r="E914" s="881"/>
      <c r="R914" s="882"/>
      <c r="S914" s="882"/>
      <c r="T914" s="882"/>
      <c r="U914" s="882"/>
      <c r="V914" s="882"/>
      <c r="W914" s="882"/>
      <c r="X914" s="882"/>
      <c r="Y914" s="882"/>
    </row>
    <row r="915" spans="1:25" x14ac:dyDescent="0.2">
      <c r="A915" s="881"/>
      <c r="B915" s="881"/>
      <c r="C915" s="881"/>
      <c r="D915" s="881"/>
      <c r="E915" s="881"/>
      <c r="R915" s="882"/>
      <c r="S915" s="882"/>
      <c r="T915" s="882"/>
      <c r="U915" s="882"/>
      <c r="V915" s="882"/>
      <c r="W915" s="882"/>
      <c r="X915" s="882"/>
      <c r="Y915" s="882"/>
    </row>
    <row r="916" spans="1:25" x14ac:dyDescent="0.2">
      <c r="A916" s="881"/>
      <c r="B916" s="881"/>
      <c r="C916" s="881"/>
      <c r="D916" s="881"/>
      <c r="E916" s="881"/>
      <c r="R916" s="882"/>
      <c r="S916" s="882"/>
      <c r="T916" s="882"/>
      <c r="U916" s="882"/>
      <c r="V916" s="882"/>
      <c r="W916" s="882"/>
      <c r="X916" s="882"/>
      <c r="Y916" s="882"/>
    </row>
    <row r="917" spans="1:25" x14ac:dyDescent="0.2">
      <c r="A917" s="881"/>
      <c r="B917" s="881"/>
      <c r="C917" s="881"/>
      <c r="D917" s="881"/>
      <c r="E917" s="881"/>
      <c r="R917" s="882"/>
      <c r="S917" s="882"/>
      <c r="T917" s="882"/>
      <c r="U917" s="882"/>
      <c r="V917" s="882"/>
      <c r="W917" s="882"/>
      <c r="X917" s="882"/>
      <c r="Y917" s="882"/>
    </row>
    <row r="918" spans="1:25" x14ac:dyDescent="0.2">
      <c r="A918" s="881"/>
      <c r="B918" s="881"/>
      <c r="C918" s="881"/>
      <c r="D918" s="881"/>
      <c r="E918" s="881"/>
      <c r="R918" s="882"/>
      <c r="S918" s="882"/>
      <c r="T918" s="882"/>
      <c r="U918" s="882"/>
      <c r="V918" s="882"/>
      <c r="W918" s="882"/>
      <c r="X918" s="882"/>
      <c r="Y918" s="882"/>
    </row>
    <row r="919" spans="1:25" x14ac:dyDescent="0.2">
      <c r="A919" s="881"/>
      <c r="B919" s="881"/>
      <c r="C919" s="881"/>
      <c r="D919" s="881"/>
      <c r="E919" s="881"/>
      <c r="R919" s="882"/>
      <c r="S919" s="882"/>
      <c r="T919" s="882"/>
      <c r="U919" s="882"/>
      <c r="V919" s="882"/>
      <c r="W919" s="882"/>
      <c r="X919" s="882"/>
      <c r="Y919" s="882"/>
    </row>
    <row r="920" spans="1:25" x14ac:dyDescent="0.2">
      <c r="A920" s="881"/>
      <c r="B920" s="881"/>
      <c r="C920" s="881"/>
      <c r="D920" s="881"/>
      <c r="E920" s="881"/>
      <c r="R920" s="882"/>
      <c r="S920" s="882"/>
      <c r="T920" s="882"/>
      <c r="U920" s="882"/>
      <c r="V920" s="882"/>
      <c r="W920" s="882"/>
      <c r="X920" s="882"/>
      <c r="Y920" s="882"/>
    </row>
    <row r="921" spans="1:25" x14ac:dyDescent="0.2">
      <c r="A921" s="881"/>
      <c r="B921" s="881"/>
      <c r="C921" s="881"/>
      <c r="D921" s="881"/>
      <c r="E921" s="881"/>
      <c r="R921" s="882"/>
      <c r="S921" s="882"/>
      <c r="T921" s="882"/>
      <c r="U921" s="882"/>
      <c r="V921" s="882"/>
      <c r="W921" s="882"/>
      <c r="X921" s="882"/>
      <c r="Y921" s="882"/>
    </row>
    <row r="922" spans="1:25" x14ac:dyDescent="0.2">
      <c r="A922" s="881"/>
      <c r="B922" s="881"/>
      <c r="C922" s="881"/>
      <c r="D922" s="881"/>
      <c r="E922" s="881"/>
      <c r="R922" s="882"/>
      <c r="S922" s="882"/>
      <c r="T922" s="882"/>
      <c r="U922" s="882"/>
      <c r="V922" s="882"/>
      <c r="W922" s="882"/>
      <c r="X922" s="882"/>
      <c r="Y922" s="882"/>
    </row>
    <row r="923" spans="1:25" x14ac:dyDescent="0.2">
      <c r="A923" s="881"/>
      <c r="B923" s="881"/>
      <c r="C923" s="881"/>
      <c r="D923" s="881"/>
      <c r="E923" s="881"/>
      <c r="R923" s="882"/>
      <c r="S923" s="882"/>
      <c r="T923" s="882"/>
      <c r="U923" s="882"/>
      <c r="V923" s="882"/>
      <c r="W923" s="882"/>
      <c r="X923" s="882"/>
      <c r="Y923" s="882"/>
    </row>
    <row r="924" spans="1:25" x14ac:dyDescent="0.2">
      <c r="A924" s="881"/>
      <c r="B924" s="881"/>
      <c r="C924" s="881"/>
      <c r="D924" s="881"/>
      <c r="E924" s="881"/>
      <c r="R924" s="882"/>
      <c r="S924" s="882"/>
      <c r="T924" s="882"/>
      <c r="U924" s="882"/>
      <c r="V924" s="882"/>
      <c r="W924" s="882"/>
      <c r="X924" s="882"/>
      <c r="Y924" s="882"/>
    </row>
    <row r="925" spans="1:25" x14ac:dyDescent="0.2">
      <c r="A925" s="881"/>
      <c r="B925" s="881"/>
      <c r="C925" s="881"/>
      <c r="D925" s="881"/>
      <c r="E925" s="881"/>
      <c r="R925" s="882"/>
      <c r="S925" s="882"/>
      <c r="T925" s="882"/>
      <c r="U925" s="882"/>
      <c r="V925" s="882"/>
      <c r="W925" s="882"/>
      <c r="X925" s="882"/>
      <c r="Y925" s="882"/>
    </row>
    <row r="926" spans="1:25" x14ac:dyDescent="0.2">
      <c r="A926" s="881"/>
      <c r="B926" s="881"/>
      <c r="C926" s="881"/>
      <c r="D926" s="881"/>
      <c r="E926" s="881"/>
      <c r="R926" s="882"/>
      <c r="S926" s="882"/>
      <c r="T926" s="882"/>
      <c r="U926" s="882"/>
      <c r="V926" s="882"/>
      <c r="W926" s="882"/>
      <c r="X926" s="882"/>
      <c r="Y926" s="882"/>
    </row>
    <row r="927" spans="1:25" x14ac:dyDescent="0.2">
      <c r="A927" s="881"/>
      <c r="B927" s="881"/>
      <c r="C927" s="881"/>
      <c r="D927" s="881"/>
      <c r="E927" s="881"/>
      <c r="R927" s="882"/>
      <c r="S927" s="882"/>
      <c r="T927" s="882"/>
      <c r="U927" s="882"/>
      <c r="V927" s="882"/>
      <c r="W927" s="882"/>
      <c r="X927" s="882"/>
      <c r="Y927" s="882"/>
    </row>
    <row r="928" spans="1:25" x14ac:dyDescent="0.2">
      <c r="A928" s="881"/>
      <c r="B928" s="881"/>
      <c r="C928" s="881"/>
      <c r="D928" s="881"/>
      <c r="E928" s="881"/>
      <c r="R928" s="882"/>
      <c r="S928" s="882"/>
      <c r="T928" s="882"/>
      <c r="U928" s="882"/>
      <c r="V928" s="882"/>
      <c r="W928" s="882"/>
      <c r="X928" s="882"/>
      <c r="Y928" s="882"/>
    </row>
    <row r="929" spans="1:25" x14ac:dyDescent="0.2">
      <c r="A929" s="881"/>
      <c r="B929" s="881"/>
      <c r="C929" s="881"/>
      <c r="D929" s="881"/>
      <c r="E929" s="881"/>
      <c r="R929" s="882"/>
      <c r="S929" s="882"/>
      <c r="T929" s="882"/>
      <c r="U929" s="882"/>
      <c r="V929" s="882"/>
      <c r="W929" s="882"/>
      <c r="X929" s="882"/>
      <c r="Y929" s="882"/>
    </row>
    <row r="930" spans="1:25" x14ac:dyDescent="0.2">
      <c r="A930" s="881"/>
      <c r="B930" s="881"/>
      <c r="C930" s="881"/>
      <c r="D930" s="881"/>
      <c r="E930" s="881"/>
      <c r="R930" s="882"/>
      <c r="S930" s="882"/>
      <c r="T930" s="882"/>
      <c r="U930" s="882"/>
      <c r="V930" s="882"/>
      <c r="W930" s="882"/>
      <c r="X930" s="882"/>
      <c r="Y930" s="882"/>
    </row>
    <row r="931" spans="1:25" x14ac:dyDescent="0.2">
      <c r="A931" s="881"/>
      <c r="B931" s="881"/>
      <c r="C931" s="881"/>
      <c r="D931" s="881"/>
      <c r="E931" s="881"/>
      <c r="R931" s="882"/>
      <c r="S931" s="882"/>
      <c r="T931" s="882"/>
      <c r="U931" s="882"/>
      <c r="V931" s="882"/>
      <c r="W931" s="882"/>
      <c r="X931" s="882"/>
      <c r="Y931" s="882"/>
    </row>
    <row r="932" spans="1:25" x14ac:dyDescent="0.2">
      <c r="A932" s="881"/>
      <c r="B932" s="881"/>
      <c r="C932" s="881"/>
      <c r="D932" s="881"/>
      <c r="E932" s="881"/>
      <c r="R932" s="882"/>
      <c r="S932" s="882"/>
      <c r="T932" s="882"/>
      <c r="U932" s="882"/>
      <c r="V932" s="882"/>
      <c r="W932" s="882"/>
      <c r="X932" s="882"/>
      <c r="Y932" s="882"/>
    </row>
    <row r="933" spans="1:25" x14ac:dyDescent="0.2">
      <c r="A933" s="881"/>
      <c r="B933" s="881"/>
      <c r="C933" s="881"/>
      <c r="D933" s="881"/>
      <c r="E933" s="881"/>
      <c r="R933" s="882"/>
      <c r="S933" s="882"/>
      <c r="T933" s="882"/>
      <c r="U933" s="882"/>
      <c r="V933" s="882"/>
      <c r="W933" s="882"/>
      <c r="X933" s="882"/>
      <c r="Y933" s="882"/>
    </row>
    <row r="934" spans="1:25" x14ac:dyDescent="0.2">
      <c r="A934" s="881"/>
      <c r="B934" s="881"/>
      <c r="C934" s="881"/>
      <c r="D934" s="881"/>
      <c r="E934" s="881"/>
      <c r="R934" s="882"/>
      <c r="S934" s="882"/>
      <c r="T934" s="882"/>
      <c r="U934" s="882"/>
      <c r="V934" s="882"/>
      <c r="W934" s="882"/>
      <c r="X934" s="882"/>
      <c r="Y934" s="882"/>
    </row>
    <row r="935" spans="1:25" x14ac:dyDescent="0.2">
      <c r="A935" s="881"/>
      <c r="B935" s="881"/>
      <c r="C935" s="881"/>
      <c r="D935" s="881"/>
      <c r="E935" s="881"/>
      <c r="R935" s="882"/>
      <c r="S935" s="882"/>
      <c r="T935" s="882"/>
      <c r="U935" s="882"/>
      <c r="V935" s="882"/>
      <c r="W935" s="882"/>
      <c r="X935" s="882"/>
      <c r="Y935" s="882"/>
    </row>
    <row r="936" spans="1:25" x14ac:dyDescent="0.2">
      <c r="A936" s="881"/>
      <c r="B936" s="881"/>
      <c r="C936" s="881"/>
      <c r="D936" s="881"/>
      <c r="E936" s="881"/>
      <c r="R936" s="882"/>
      <c r="S936" s="882"/>
      <c r="T936" s="882"/>
      <c r="U936" s="882"/>
      <c r="V936" s="882"/>
      <c r="W936" s="882"/>
      <c r="X936" s="882"/>
      <c r="Y936" s="882"/>
    </row>
    <row r="937" spans="1:25" x14ac:dyDescent="0.2">
      <c r="A937" s="881"/>
      <c r="B937" s="881"/>
      <c r="C937" s="881"/>
      <c r="D937" s="881"/>
      <c r="E937" s="881"/>
      <c r="R937" s="882"/>
      <c r="S937" s="882"/>
      <c r="T937" s="882"/>
      <c r="U937" s="882"/>
      <c r="V937" s="882"/>
      <c r="W937" s="882"/>
      <c r="X937" s="882"/>
      <c r="Y937" s="882"/>
    </row>
    <row r="938" spans="1:25" x14ac:dyDescent="0.2">
      <c r="A938" s="881"/>
      <c r="B938" s="881"/>
      <c r="C938" s="881"/>
      <c r="D938" s="881"/>
      <c r="E938" s="881"/>
      <c r="R938" s="882"/>
      <c r="S938" s="882"/>
      <c r="T938" s="882"/>
      <c r="U938" s="882"/>
      <c r="V938" s="882"/>
      <c r="W938" s="882"/>
      <c r="X938" s="882"/>
      <c r="Y938" s="882"/>
    </row>
    <row r="939" spans="1:25" x14ac:dyDescent="0.2">
      <c r="A939" s="881"/>
      <c r="B939" s="881"/>
      <c r="C939" s="881"/>
      <c r="D939" s="881"/>
      <c r="E939" s="881"/>
      <c r="R939" s="882"/>
      <c r="S939" s="882"/>
      <c r="T939" s="882"/>
      <c r="U939" s="882"/>
      <c r="V939" s="882"/>
      <c r="W939" s="882"/>
      <c r="X939" s="882"/>
      <c r="Y939" s="882"/>
    </row>
    <row r="940" spans="1:25" x14ac:dyDescent="0.2">
      <c r="A940" s="881"/>
      <c r="B940" s="881"/>
      <c r="C940" s="881"/>
      <c r="D940" s="881"/>
      <c r="E940" s="881"/>
      <c r="R940" s="882"/>
      <c r="S940" s="882"/>
      <c r="T940" s="882"/>
      <c r="U940" s="882"/>
      <c r="V940" s="882"/>
      <c r="W940" s="882"/>
      <c r="X940" s="882"/>
      <c r="Y940" s="882"/>
    </row>
    <row r="941" spans="1:25" x14ac:dyDescent="0.2">
      <c r="A941" s="881"/>
      <c r="B941" s="881"/>
      <c r="C941" s="881"/>
      <c r="D941" s="881"/>
      <c r="E941" s="881"/>
      <c r="R941" s="882"/>
      <c r="S941" s="882"/>
      <c r="T941" s="882"/>
      <c r="U941" s="882"/>
      <c r="V941" s="882"/>
      <c r="W941" s="882"/>
      <c r="X941" s="882"/>
      <c r="Y941" s="882"/>
    </row>
    <row r="942" spans="1:25" x14ac:dyDescent="0.2">
      <c r="A942" s="881"/>
      <c r="B942" s="881"/>
      <c r="C942" s="881"/>
      <c r="D942" s="881"/>
      <c r="E942" s="881"/>
      <c r="R942" s="882"/>
      <c r="S942" s="882"/>
      <c r="T942" s="882"/>
      <c r="U942" s="882"/>
      <c r="V942" s="882"/>
      <c r="W942" s="882"/>
      <c r="X942" s="882"/>
      <c r="Y942" s="882"/>
    </row>
    <row r="943" spans="1:25" x14ac:dyDescent="0.2">
      <c r="A943" s="881"/>
      <c r="B943" s="881"/>
      <c r="C943" s="881"/>
      <c r="D943" s="881"/>
      <c r="E943" s="881"/>
      <c r="R943" s="882"/>
      <c r="S943" s="882"/>
      <c r="T943" s="882"/>
      <c r="U943" s="882"/>
      <c r="V943" s="882"/>
      <c r="W943" s="882"/>
      <c r="X943" s="882"/>
      <c r="Y943" s="882"/>
    </row>
    <row r="944" spans="1:25" x14ac:dyDescent="0.2">
      <c r="A944" s="881"/>
      <c r="B944" s="881"/>
      <c r="C944" s="881"/>
      <c r="D944" s="881"/>
      <c r="E944" s="881"/>
      <c r="R944" s="882"/>
      <c r="S944" s="882"/>
      <c r="T944" s="882"/>
      <c r="U944" s="882"/>
      <c r="V944" s="882"/>
      <c r="W944" s="882"/>
      <c r="X944" s="882"/>
      <c r="Y944" s="882"/>
    </row>
    <row r="945" spans="1:25" x14ac:dyDescent="0.2">
      <c r="A945" s="881"/>
      <c r="B945" s="881"/>
      <c r="C945" s="881"/>
      <c r="D945" s="881"/>
      <c r="E945" s="881"/>
      <c r="R945" s="882"/>
      <c r="S945" s="882"/>
      <c r="T945" s="882"/>
      <c r="U945" s="882"/>
      <c r="V945" s="882"/>
      <c r="W945" s="882"/>
      <c r="X945" s="882"/>
      <c r="Y945" s="882"/>
    </row>
    <row r="946" spans="1:25" x14ac:dyDescent="0.2">
      <c r="A946" s="881"/>
      <c r="B946" s="881"/>
      <c r="C946" s="881"/>
      <c r="D946" s="881"/>
      <c r="E946" s="881"/>
      <c r="R946" s="882"/>
      <c r="S946" s="882"/>
      <c r="T946" s="882"/>
      <c r="U946" s="882"/>
      <c r="V946" s="882"/>
      <c r="W946" s="882"/>
      <c r="X946" s="882"/>
      <c r="Y946" s="882"/>
    </row>
    <row r="947" spans="1:25" x14ac:dyDescent="0.2">
      <c r="A947" s="881"/>
      <c r="B947" s="881"/>
      <c r="C947" s="881"/>
      <c r="D947" s="881"/>
      <c r="E947" s="881"/>
      <c r="R947" s="882"/>
      <c r="S947" s="882"/>
      <c r="T947" s="882"/>
      <c r="U947" s="882"/>
      <c r="V947" s="882"/>
      <c r="W947" s="882"/>
      <c r="X947" s="882"/>
      <c r="Y947" s="882"/>
    </row>
    <row r="948" spans="1:25" x14ac:dyDescent="0.2">
      <c r="A948" s="881"/>
      <c r="B948" s="881"/>
      <c r="C948" s="881"/>
      <c r="D948" s="881"/>
      <c r="E948" s="881"/>
      <c r="R948" s="882"/>
      <c r="S948" s="882"/>
      <c r="T948" s="882"/>
      <c r="U948" s="882"/>
      <c r="V948" s="882"/>
      <c r="W948" s="882"/>
      <c r="X948" s="882"/>
      <c r="Y948" s="882"/>
    </row>
    <row r="949" spans="1:25" x14ac:dyDescent="0.2">
      <c r="A949" s="881"/>
      <c r="B949" s="881"/>
      <c r="C949" s="881"/>
      <c r="D949" s="881"/>
      <c r="E949" s="881"/>
      <c r="R949" s="882"/>
      <c r="S949" s="882"/>
      <c r="T949" s="882"/>
      <c r="U949" s="882"/>
      <c r="V949" s="882"/>
      <c r="W949" s="882"/>
      <c r="X949" s="882"/>
      <c r="Y949" s="882"/>
    </row>
    <row r="950" spans="1:25" x14ac:dyDescent="0.2">
      <c r="A950" s="881"/>
      <c r="B950" s="881"/>
      <c r="C950" s="881"/>
      <c r="D950" s="881"/>
      <c r="E950" s="881"/>
      <c r="R950" s="882"/>
      <c r="S950" s="882"/>
      <c r="T950" s="882"/>
      <c r="U950" s="882"/>
      <c r="V950" s="882"/>
      <c r="W950" s="882"/>
      <c r="X950" s="882"/>
      <c r="Y950" s="882"/>
    </row>
    <row r="951" spans="1:25" x14ac:dyDescent="0.2">
      <c r="A951" s="881"/>
      <c r="B951" s="881"/>
      <c r="C951" s="881"/>
      <c r="D951" s="881"/>
      <c r="E951" s="881"/>
      <c r="R951" s="882"/>
      <c r="S951" s="882"/>
      <c r="T951" s="882"/>
      <c r="U951" s="882"/>
      <c r="V951" s="882"/>
      <c r="W951" s="882"/>
      <c r="X951" s="882"/>
      <c r="Y951" s="882"/>
    </row>
    <row r="952" spans="1:25" x14ac:dyDescent="0.2">
      <c r="A952" s="881"/>
      <c r="B952" s="881"/>
      <c r="C952" s="881"/>
      <c r="D952" s="881"/>
      <c r="E952" s="881"/>
      <c r="R952" s="882"/>
      <c r="S952" s="882"/>
      <c r="T952" s="882"/>
      <c r="U952" s="882"/>
      <c r="V952" s="882"/>
      <c r="W952" s="882"/>
      <c r="X952" s="882"/>
      <c r="Y952" s="882"/>
    </row>
    <row r="953" spans="1:25" x14ac:dyDescent="0.2">
      <c r="A953" s="881"/>
      <c r="B953" s="881"/>
      <c r="C953" s="881"/>
      <c r="D953" s="881"/>
      <c r="E953" s="881"/>
      <c r="R953" s="882"/>
      <c r="S953" s="882"/>
      <c r="T953" s="882"/>
      <c r="U953" s="882"/>
      <c r="V953" s="882"/>
      <c r="W953" s="882"/>
      <c r="X953" s="882"/>
      <c r="Y953" s="882"/>
    </row>
    <row r="954" spans="1:25" x14ac:dyDescent="0.2">
      <c r="A954" s="881"/>
      <c r="B954" s="881"/>
      <c r="C954" s="881"/>
      <c r="D954" s="881"/>
      <c r="E954" s="881"/>
      <c r="R954" s="882"/>
      <c r="S954" s="882"/>
      <c r="T954" s="882"/>
      <c r="U954" s="882"/>
      <c r="V954" s="882"/>
      <c r="W954" s="882"/>
      <c r="X954" s="882"/>
      <c r="Y954" s="882"/>
    </row>
    <row r="955" spans="1:25" x14ac:dyDescent="0.2">
      <c r="A955" s="881"/>
      <c r="B955" s="881"/>
      <c r="C955" s="881"/>
      <c r="D955" s="881"/>
      <c r="E955" s="881"/>
      <c r="R955" s="882"/>
      <c r="S955" s="882"/>
      <c r="T955" s="882"/>
      <c r="U955" s="882"/>
      <c r="V955" s="882"/>
      <c r="W955" s="882"/>
      <c r="X955" s="882"/>
      <c r="Y955" s="882"/>
    </row>
    <row r="956" spans="1:25" x14ac:dyDescent="0.2">
      <c r="A956" s="881"/>
      <c r="B956" s="881"/>
      <c r="C956" s="881"/>
      <c r="D956" s="881"/>
      <c r="E956" s="881"/>
      <c r="R956" s="882"/>
      <c r="S956" s="882"/>
      <c r="T956" s="882"/>
      <c r="U956" s="882"/>
      <c r="V956" s="882"/>
      <c r="W956" s="882"/>
      <c r="X956" s="882"/>
      <c r="Y956" s="882"/>
    </row>
    <row r="957" spans="1:25" x14ac:dyDescent="0.2">
      <c r="A957" s="881"/>
      <c r="B957" s="881"/>
      <c r="C957" s="881"/>
      <c r="D957" s="881"/>
      <c r="E957" s="881"/>
      <c r="R957" s="882"/>
      <c r="S957" s="882"/>
      <c r="T957" s="882"/>
      <c r="U957" s="882"/>
      <c r="V957" s="882"/>
      <c r="W957" s="882"/>
      <c r="X957" s="882"/>
      <c r="Y957" s="882"/>
    </row>
    <row r="958" spans="1:25" x14ac:dyDescent="0.2">
      <c r="A958" s="881"/>
      <c r="B958" s="881"/>
      <c r="C958" s="881"/>
      <c r="D958" s="881"/>
      <c r="E958" s="881"/>
      <c r="R958" s="882"/>
      <c r="S958" s="882"/>
      <c r="T958" s="882"/>
      <c r="U958" s="882"/>
      <c r="V958" s="882"/>
      <c r="W958" s="882"/>
      <c r="X958" s="882"/>
      <c r="Y958" s="882"/>
    </row>
    <row r="959" spans="1:25" x14ac:dyDescent="0.2">
      <c r="A959" s="881"/>
      <c r="B959" s="881"/>
      <c r="C959" s="881"/>
      <c r="D959" s="881"/>
      <c r="E959" s="881"/>
      <c r="R959" s="882"/>
      <c r="S959" s="882"/>
      <c r="T959" s="882"/>
      <c r="U959" s="882"/>
      <c r="V959" s="882"/>
      <c r="W959" s="882"/>
      <c r="X959" s="882"/>
      <c r="Y959" s="882"/>
    </row>
    <row r="960" spans="1:25" x14ac:dyDescent="0.2">
      <c r="A960" s="881"/>
      <c r="B960" s="881"/>
      <c r="C960" s="881"/>
      <c r="D960" s="881"/>
      <c r="E960" s="881"/>
      <c r="R960" s="882"/>
      <c r="S960" s="882"/>
      <c r="T960" s="882"/>
      <c r="U960" s="882"/>
      <c r="V960" s="882"/>
      <c r="W960" s="882"/>
      <c r="X960" s="882"/>
      <c r="Y960" s="882"/>
    </row>
    <row r="961" spans="1:25" x14ac:dyDescent="0.2">
      <c r="A961" s="881"/>
      <c r="B961" s="881"/>
      <c r="C961" s="881"/>
      <c r="D961" s="881"/>
      <c r="E961" s="881"/>
      <c r="R961" s="882"/>
      <c r="S961" s="882"/>
      <c r="T961" s="882"/>
      <c r="U961" s="882"/>
      <c r="V961" s="882"/>
      <c r="W961" s="882"/>
      <c r="X961" s="882"/>
      <c r="Y961" s="882"/>
    </row>
    <row r="962" spans="1:25" x14ac:dyDescent="0.2">
      <c r="A962" s="881"/>
      <c r="B962" s="881"/>
      <c r="C962" s="881"/>
      <c r="D962" s="881"/>
      <c r="E962" s="881"/>
      <c r="R962" s="882"/>
      <c r="S962" s="882"/>
      <c r="T962" s="882"/>
      <c r="U962" s="882"/>
      <c r="V962" s="882"/>
      <c r="W962" s="882"/>
      <c r="X962" s="882"/>
      <c r="Y962" s="882"/>
    </row>
    <row r="963" spans="1:25" x14ac:dyDescent="0.2">
      <c r="A963" s="881"/>
      <c r="B963" s="881"/>
      <c r="C963" s="881"/>
      <c r="D963" s="881"/>
      <c r="E963" s="881"/>
      <c r="R963" s="882"/>
      <c r="S963" s="882"/>
      <c r="T963" s="882"/>
      <c r="U963" s="882"/>
      <c r="V963" s="882"/>
      <c r="W963" s="882"/>
      <c r="X963" s="882"/>
      <c r="Y963" s="882"/>
    </row>
    <row r="964" spans="1:25" x14ac:dyDescent="0.2">
      <c r="A964" s="881"/>
      <c r="B964" s="881"/>
      <c r="C964" s="881"/>
      <c r="D964" s="881"/>
      <c r="E964" s="881"/>
      <c r="R964" s="882"/>
      <c r="S964" s="882"/>
      <c r="T964" s="882"/>
      <c r="U964" s="882"/>
      <c r="V964" s="882"/>
      <c r="W964" s="882"/>
      <c r="X964" s="882"/>
      <c r="Y964" s="882"/>
    </row>
    <row r="965" spans="1:25" x14ac:dyDescent="0.2">
      <c r="A965" s="881"/>
      <c r="B965" s="881"/>
      <c r="C965" s="881"/>
      <c r="D965" s="881"/>
      <c r="E965" s="881"/>
      <c r="R965" s="882"/>
      <c r="S965" s="882"/>
      <c r="T965" s="882"/>
      <c r="U965" s="882"/>
      <c r="V965" s="882"/>
      <c r="W965" s="882"/>
      <c r="X965" s="882"/>
      <c r="Y965" s="882"/>
    </row>
    <row r="966" spans="1:25" x14ac:dyDescent="0.2">
      <c r="A966" s="881"/>
      <c r="B966" s="881"/>
      <c r="C966" s="881"/>
      <c r="D966" s="881"/>
      <c r="E966" s="881"/>
      <c r="R966" s="882"/>
      <c r="S966" s="882"/>
      <c r="T966" s="882"/>
      <c r="U966" s="882"/>
      <c r="V966" s="882"/>
      <c r="W966" s="882"/>
      <c r="X966" s="882"/>
      <c r="Y966" s="882"/>
    </row>
    <row r="967" spans="1:25" x14ac:dyDescent="0.2">
      <c r="A967" s="881"/>
      <c r="B967" s="881"/>
      <c r="C967" s="881"/>
      <c r="D967" s="881"/>
      <c r="E967" s="881"/>
      <c r="R967" s="882"/>
      <c r="S967" s="882"/>
      <c r="T967" s="882"/>
      <c r="U967" s="882"/>
      <c r="V967" s="882"/>
      <c r="W967" s="882"/>
      <c r="X967" s="882"/>
      <c r="Y967" s="882"/>
    </row>
    <row r="968" spans="1:25" x14ac:dyDescent="0.2">
      <c r="A968" s="881"/>
      <c r="B968" s="881"/>
      <c r="C968" s="881"/>
      <c r="D968" s="881"/>
      <c r="E968" s="881"/>
      <c r="R968" s="882"/>
      <c r="S968" s="882"/>
      <c r="T968" s="882"/>
      <c r="U968" s="882"/>
      <c r="V968" s="882"/>
      <c r="W968" s="882"/>
      <c r="X968" s="882"/>
      <c r="Y968" s="882"/>
    </row>
    <row r="969" spans="1:25" x14ac:dyDescent="0.2">
      <c r="A969" s="881"/>
      <c r="B969" s="881"/>
      <c r="C969" s="881"/>
      <c r="D969" s="881"/>
      <c r="E969" s="881"/>
      <c r="R969" s="882"/>
      <c r="S969" s="882"/>
      <c r="T969" s="882"/>
      <c r="U969" s="882"/>
      <c r="V969" s="882"/>
      <c r="W969" s="882"/>
      <c r="X969" s="882"/>
      <c r="Y969" s="882"/>
    </row>
    <row r="970" spans="1:25" x14ac:dyDescent="0.2">
      <c r="A970" s="881"/>
      <c r="B970" s="881"/>
      <c r="C970" s="881"/>
      <c r="D970" s="881"/>
      <c r="E970" s="881"/>
      <c r="R970" s="882"/>
      <c r="S970" s="882"/>
      <c r="T970" s="882"/>
      <c r="U970" s="882"/>
      <c r="V970" s="882"/>
      <c r="W970" s="882"/>
      <c r="X970" s="882"/>
      <c r="Y970" s="882"/>
    </row>
    <row r="971" spans="1:25" x14ac:dyDescent="0.2">
      <c r="A971" s="881"/>
      <c r="B971" s="881"/>
      <c r="C971" s="881"/>
      <c r="D971" s="881"/>
      <c r="E971" s="881"/>
      <c r="R971" s="882"/>
      <c r="S971" s="882"/>
      <c r="T971" s="882"/>
      <c r="U971" s="882"/>
      <c r="V971" s="882"/>
      <c r="W971" s="882"/>
      <c r="X971" s="882"/>
      <c r="Y971" s="882"/>
    </row>
    <row r="972" spans="1:25" x14ac:dyDescent="0.2">
      <c r="A972" s="881"/>
      <c r="B972" s="881"/>
      <c r="C972" s="881"/>
      <c r="D972" s="881"/>
      <c r="E972" s="881"/>
      <c r="R972" s="882"/>
      <c r="S972" s="882"/>
      <c r="T972" s="882"/>
      <c r="U972" s="882"/>
      <c r="V972" s="882"/>
      <c r="W972" s="882"/>
      <c r="X972" s="882"/>
      <c r="Y972" s="882"/>
    </row>
    <row r="973" spans="1:25" x14ac:dyDescent="0.2">
      <c r="A973" s="881"/>
      <c r="B973" s="881"/>
      <c r="C973" s="881"/>
      <c r="D973" s="881"/>
      <c r="E973" s="881"/>
      <c r="R973" s="882"/>
      <c r="S973" s="882"/>
      <c r="T973" s="882"/>
      <c r="U973" s="882"/>
      <c r="V973" s="882"/>
      <c r="W973" s="882"/>
      <c r="X973" s="882"/>
      <c r="Y973" s="882"/>
    </row>
    <row r="974" spans="1:25" x14ac:dyDescent="0.2">
      <c r="A974" s="881"/>
      <c r="B974" s="881"/>
      <c r="C974" s="881"/>
      <c r="D974" s="881"/>
      <c r="E974" s="881"/>
      <c r="R974" s="882"/>
      <c r="S974" s="882"/>
      <c r="T974" s="882"/>
      <c r="U974" s="882"/>
      <c r="V974" s="882"/>
      <c r="W974" s="882"/>
      <c r="X974" s="882"/>
      <c r="Y974" s="882"/>
    </row>
    <row r="975" spans="1:25" x14ac:dyDescent="0.2">
      <c r="A975" s="881"/>
      <c r="B975" s="881"/>
      <c r="C975" s="881"/>
      <c r="D975" s="881"/>
      <c r="E975" s="881"/>
      <c r="R975" s="882"/>
      <c r="S975" s="882"/>
      <c r="T975" s="882"/>
      <c r="U975" s="882"/>
      <c r="V975" s="882"/>
      <c r="W975" s="882"/>
      <c r="X975" s="882"/>
      <c r="Y975" s="882"/>
    </row>
    <row r="976" spans="1:25" x14ac:dyDescent="0.2">
      <c r="A976" s="881"/>
      <c r="B976" s="881"/>
      <c r="C976" s="881"/>
      <c r="D976" s="881"/>
      <c r="E976" s="881"/>
      <c r="R976" s="882"/>
      <c r="S976" s="882"/>
      <c r="T976" s="882"/>
      <c r="U976" s="882"/>
      <c r="V976" s="882"/>
      <c r="W976" s="882"/>
      <c r="X976" s="882"/>
      <c r="Y976" s="882"/>
    </row>
    <row r="977" spans="1:25" x14ac:dyDescent="0.2">
      <c r="A977" s="881"/>
      <c r="B977" s="881"/>
      <c r="C977" s="881"/>
      <c r="D977" s="881"/>
      <c r="E977" s="881"/>
      <c r="R977" s="882"/>
      <c r="S977" s="882"/>
      <c r="T977" s="882"/>
      <c r="U977" s="882"/>
      <c r="V977" s="882"/>
      <c r="W977" s="882"/>
      <c r="X977" s="882"/>
      <c r="Y977" s="882"/>
    </row>
    <row r="978" spans="1:25" x14ac:dyDescent="0.2">
      <c r="A978" s="881"/>
      <c r="B978" s="881"/>
      <c r="C978" s="881"/>
      <c r="D978" s="881"/>
      <c r="E978" s="881"/>
      <c r="R978" s="882"/>
      <c r="S978" s="882"/>
      <c r="T978" s="882"/>
      <c r="U978" s="882"/>
      <c r="V978" s="882"/>
      <c r="W978" s="882"/>
      <c r="X978" s="882"/>
      <c r="Y978" s="882"/>
    </row>
    <row r="979" spans="1:25" x14ac:dyDescent="0.2">
      <c r="A979" s="881"/>
      <c r="B979" s="881"/>
      <c r="C979" s="881"/>
      <c r="D979" s="881"/>
      <c r="E979" s="881"/>
      <c r="R979" s="882"/>
      <c r="S979" s="882"/>
      <c r="T979" s="882"/>
      <c r="U979" s="882"/>
      <c r="V979" s="882"/>
      <c r="W979" s="882"/>
      <c r="X979" s="882"/>
      <c r="Y979" s="882"/>
    </row>
    <row r="980" spans="1:25" x14ac:dyDescent="0.2">
      <c r="A980" s="881"/>
      <c r="B980" s="881"/>
      <c r="C980" s="881"/>
      <c r="D980" s="881"/>
      <c r="E980" s="881"/>
      <c r="R980" s="882"/>
      <c r="S980" s="882"/>
      <c r="T980" s="882"/>
      <c r="U980" s="882"/>
      <c r="V980" s="882"/>
      <c r="W980" s="882"/>
      <c r="X980" s="882"/>
      <c r="Y980" s="882"/>
    </row>
    <row r="981" spans="1:25" x14ac:dyDescent="0.2">
      <c r="A981" s="881"/>
      <c r="B981" s="881"/>
      <c r="C981" s="881"/>
      <c r="D981" s="881"/>
      <c r="E981" s="881"/>
      <c r="R981" s="882"/>
      <c r="S981" s="882"/>
      <c r="T981" s="882"/>
      <c r="U981" s="882"/>
      <c r="V981" s="882"/>
      <c r="W981" s="882"/>
      <c r="X981" s="882"/>
      <c r="Y981" s="882"/>
    </row>
    <row r="982" spans="1:25" x14ac:dyDescent="0.2">
      <c r="A982" s="881"/>
      <c r="B982" s="881"/>
      <c r="C982" s="881"/>
      <c r="D982" s="881"/>
      <c r="E982" s="881"/>
      <c r="R982" s="882"/>
      <c r="S982" s="882"/>
      <c r="T982" s="882"/>
      <c r="U982" s="882"/>
      <c r="V982" s="882"/>
      <c r="W982" s="882"/>
      <c r="X982" s="882"/>
      <c r="Y982" s="882"/>
    </row>
    <row r="983" spans="1:25" x14ac:dyDescent="0.2">
      <c r="A983" s="881"/>
      <c r="B983" s="881"/>
      <c r="C983" s="881"/>
      <c r="D983" s="881"/>
      <c r="E983" s="881"/>
      <c r="R983" s="882"/>
      <c r="S983" s="882"/>
      <c r="T983" s="882"/>
      <c r="U983" s="882"/>
      <c r="V983" s="882"/>
      <c r="W983" s="882"/>
      <c r="X983" s="882"/>
      <c r="Y983" s="882"/>
    </row>
    <row r="984" spans="1:25" x14ac:dyDescent="0.2">
      <c r="A984" s="881"/>
      <c r="B984" s="881"/>
      <c r="C984" s="881"/>
      <c r="D984" s="881"/>
      <c r="E984" s="881"/>
      <c r="R984" s="882"/>
      <c r="S984" s="882"/>
      <c r="T984" s="882"/>
      <c r="U984" s="882"/>
      <c r="V984" s="882"/>
      <c r="W984" s="882"/>
      <c r="X984" s="882"/>
      <c r="Y984" s="882"/>
    </row>
    <row r="985" spans="1:25" x14ac:dyDescent="0.2">
      <c r="A985" s="881"/>
      <c r="B985" s="881"/>
      <c r="C985" s="881"/>
      <c r="D985" s="881"/>
      <c r="E985" s="881"/>
      <c r="R985" s="882"/>
      <c r="S985" s="882"/>
      <c r="T985" s="882"/>
      <c r="U985" s="882"/>
      <c r="V985" s="882"/>
      <c r="W985" s="882"/>
      <c r="X985" s="882"/>
      <c r="Y985" s="882"/>
    </row>
    <row r="986" spans="1:25" x14ac:dyDescent="0.2">
      <c r="A986" s="881"/>
      <c r="B986" s="881"/>
      <c r="C986" s="881"/>
      <c r="D986" s="881"/>
      <c r="E986" s="881"/>
      <c r="R986" s="882"/>
      <c r="S986" s="882"/>
      <c r="T986" s="882"/>
      <c r="U986" s="882"/>
      <c r="V986" s="882"/>
      <c r="W986" s="882"/>
      <c r="X986" s="882"/>
      <c r="Y986" s="882"/>
    </row>
    <row r="987" spans="1:25" x14ac:dyDescent="0.2">
      <c r="A987" s="881"/>
      <c r="B987" s="881"/>
      <c r="C987" s="881"/>
      <c r="D987" s="881"/>
      <c r="E987" s="881"/>
      <c r="R987" s="882"/>
      <c r="S987" s="882"/>
      <c r="T987" s="882"/>
      <c r="U987" s="882"/>
      <c r="V987" s="882"/>
      <c r="W987" s="882"/>
      <c r="X987" s="882"/>
      <c r="Y987" s="882"/>
    </row>
    <row r="988" spans="1:25" x14ac:dyDescent="0.2">
      <c r="A988" s="881"/>
      <c r="B988" s="881"/>
      <c r="C988" s="881"/>
      <c r="D988" s="881"/>
      <c r="E988" s="881"/>
      <c r="R988" s="882"/>
      <c r="S988" s="882"/>
      <c r="T988" s="882"/>
      <c r="U988" s="882"/>
      <c r="V988" s="882"/>
      <c r="W988" s="882"/>
      <c r="X988" s="882"/>
      <c r="Y988" s="882"/>
    </row>
    <row r="989" spans="1:25" x14ac:dyDescent="0.2">
      <c r="A989" s="881"/>
      <c r="B989" s="881"/>
      <c r="C989" s="881"/>
      <c r="D989" s="881"/>
      <c r="E989" s="881"/>
      <c r="R989" s="882"/>
      <c r="S989" s="882"/>
      <c r="T989" s="882"/>
      <c r="U989" s="882"/>
      <c r="V989" s="882"/>
      <c r="W989" s="882"/>
      <c r="X989" s="882"/>
      <c r="Y989" s="882"/>
    </row>
    <row r="990" spans="1:25" x14ac:dyDescent="0.2">
      <c r="A990" s="881"/>
      <c r="B990" s="881"/>
      <c r="C990" s="881"/>
      <c r="D990" s="881"/>
      <c r="E990" s="881"/>
      <c r="R990" s="882"/>
      <c r="S990" s="882"/>
      <c r="T990" s="882"/>
      <c r="U990" s="882"/>
      <c r="V990" s="882"/>
      <c r="W990" s="882"/>
      <c r="X990" s="882"/>
      <c r="Y990" s="882"/>
    </row>
    <row r="991" spans="1:25" x14ac:dyDescent="0.2">
      <c r="A991" s="881"/>
      <c r="B991" s="881"/>
      <c r="C991" s="881"/>
      <c r="D991" s="881"/>
      <c r="E991" s="881"/>
      <c r="R991" s="882"/>
      <c r="S991" s="882"/>
      <c r="T991" s="882"/>
      <c r="U991" s="882"/>
      <c r="V991" s="882"/>
      <c r="W991" s="882"/>
      <c r="X991" s="882"/>
      <c r="Y991" s="882"/>
    </row>
    <row r="992" spans="1:25" x14ac:dyDescent="0.2">
      <c r="A992" s="881"/>
      <c r="B992" s="881"/>
      <c r="C992" s="881"/>
      <c r="D992" s="881"/>
      <c r="E992" s="881"/>
      <c r="R992" s="882"/>
      <c r="S992" s="882"/>
      <c r="T992" s="882"/>
      <c r="U992" s="882"/>
      <c r="V992" s="882"/>
      <c r="W992" s="882"/>
      <c r="X992" s="882"/>
      <c r="Y992" s="882"/>
    </row>
    <row r="993" spans="1:25" x14ac:dyDescent="0.2">
      <c r="A993" s="881"/>
      <c r="B993" s="881"/>
      <c r="C993" s="881"/>
      <c r="D993" s="881"/>
      <c r="E993" s="881"/>
      <c r="R993" s="882"/>
      <c r="S993" s="882"/>
      <c r="T993" s="882"/>
      <c r="U993" s="882"/>
      <c r="V993" s="882"/>
      <c r="W993" s="882"/>
      <c r="X993" s="882"/>
      <c r="Y993" s="882"/>
    </row>
    <row r="994" spans="1:25" x14ac:dyDescent="0.2">
      <c r="A994" s="881"/>
      <c r="B994" s="881"/>
      <c r="C994" s="881"/>
      <c r="D994" s="881"/>
      <c r="E994" s="881"/>
      <c r="R994" s="882"/>
      <c r="S994" s="882"/>
      <c r="T994" s="882"/>
      <c r="U994" s="882"/>
      <c r="V994" s="882"/>
      <c r="W994" s="882"/>
      <c r="X994" s="882"/>
      <c r="Y994" s="882"/>
    </row>
    <row r="995" spans="1:25" x14ac:dyDescent="0.2">
      <c r="A995" s="881"/>
      <c r="B995" s="881"/>
      <c r="C995" s="881"/>
      <c r="D995" s="881"/>
      <c r="E995" s="881"/>
      <c r="R995" s="882"/>
      <c r="S995" s="882"/>
      <c r="T995" s="882"/>
      <c r="U995" s="882"/>
      <c r="V995" s="882"/>
      <c r="W995" s="882"/>
      <c r="X995" s="882"/>
      <c r="Y995" s="882"/>
    </row>
    <row r="996" spans="1:25" x14ac:dyDescent="0.2">
      <c r="A996" s="881"/>
      <c r="B996" s="881"/>
      <c r="C996" s="881"/>
      <c r="D996" s="881"/>
      <c r="E996" s="881"/>
      <c r="R996" s="882"/>
      <c r="S996" s="882"/>
      <c r="T996" s="882"/>
      <c r="U996" s="882"/>
      <c r="V996" s="882"/>
      <c r="W996" s="882"/>
      <c r="X996" s="882"/>
      <c r="Y996" s="882"/>
    </row>
    <row r="997" spans="1:25" x14ac:dyDescent="0.2">
      <c r="A997" s="881"/>
      <c r="B997" s="881"/>
      <c r="C997" s="881"/>
      <c r="D997" s="881"/>
      <c r="E997" s="881"/>
      <c r="R997" s="882"/>
      <c r="S997" s="882"/>
      <c r="T997" s="882"/>
      <c r="U997" s="882"/>
      <c r="V997" s="882"/>
      <c r="W997" s="882"/>
      <c r="X997" s="882"/>
      <c r="Y997" s="882"/>
    </row>
    <row r="998" spans="1:25" x14ac:dyDescent="0.2">
      <c r="A998" s="881"/>
      <c r="B998" s="881"/>
      <c r="C998" s="881"/>
      <c r="D998" s="881"/>
      <c r="E998" s="881"/>
      <c r="R998" s="882"/>
      <c r="S998" s="882"/>
      <c r="T998" s="882"/>
      <c r="U998" s="882"/>
      <c r="V998" s="882"/>
      <c r="W998" s="882"/>
      <c r="X998" s="882"/>
      <c r="Y998" s="882"/>
    </row>
    <row r="999" spans="1:25" x14ac:dyDescent="0.2">
      <c r="A999" s="881"/>
      <c r="B999" s="881"/>
      <c r="C999" s="881"/>
      <c r="D999" s="881"/>
      <c r="E999" s="881"/>
      <c r="R999" s="882"/>
      <c r="S999" s="882"/>
      <c r="T999" s="882"/>
      <c r="U999" s="882"/>
      <c r="V999" s="882"/>
      <c r="W999" s="882"/>
      <c r="X999" s="882"/>
      <c r="Y999" s="882"/>
    </row>
    <row r="1000" spans="1:25" x14ac:dyDescent="0.2">
      <c r="A1000" s="881"/>
      <c r="B1000" s="881"/>
      <c r="C1000" s="881"/>
      <c r="D1000" s="881"/>
      <c r="E1000" s="881"/>
      <c r="R1000" s="882"/>
      <c r="S1000" s="882"/>
      <c r="T1000" s="882"/>
      <c r="U1000" s="882"/>
      <c r="V1000" s="882"/>
      <c r="W1000" s="882"/>
      <c r="X1000" s="882"/>
      <c r="Y1000" s="882"/>
    </row>
    <row r="1001" spans="1:25" x14ac:dyDescent="0.2">
      <c r="A1001" s="881"/>
      <c r="B1001" s="881"/>
      <c r="C1001" s="881"/>
      <c r="D1001" s="881"/>
      <c r="E1001" s="881"/>
      <c r="R1001" s="882"/>
      <c r="S1001" s="882"/>
      <c r="T1001" s="882"/>
      <c r="U1001" s="882"/>
      <c r="V1001" s="882"/>
      <c r="W1001" s="882"/>
      <c r="X1001" s="882"/>
      <c r="Y1001" s="882"/>
    </row>
    <row r="1002" spans="1:25" x14ac:dyDescent="0.2">
      <c r="A1002" s="881"/>
      <c r="B1002" s="881"/>
      <c r="C1002" s="881"/>
      <c r="D1002" s="881"/>
      <c r="E1002" s="881"/>
      <c r="R1002" s="882"/>
      <c r="S1002" s="882"/>
      <c r="T1002" s="882"/>
      <c r="U1002" s="882"/>
      <c r="V1002" s="882"/>
      <c r="W1002" s="882"/>
      <c r="X1002" s="882"/>
      <c r="Y1002" s="882"/>
    </row>
    <row r="1003" spans="1:25" x14ac:dyDescent="0.2">
      <c r="A1003" s="881"/>
      <c r="B1003" s="881"/>
      <c r="C1003" s="881"/>
      <c r="D1003" s="881"/>
      <c r="E1003" s="881"/>
      <c r="R1003" s="882"/>
      <c r="S1003" s="882"/>
      <c r="T1003" s="882"/>
      <c r="U1003" s="882"/>
      <c r="V1003" s="882"/>
      <c r="W1003" s="882"/>
      <c r="X1003" s="882"/>
      <c r="Y1003" s="882"/>
    </row>
    <row r="1004" spans="1:25" x14ac:dyDescent="0.2">
      <c r="A1004" s="881"/>
      <c r="B1004" s="881"/>
      <c r="C1004" s="881"/>
      <c r="D1004" s="881"/>
      <c r="E1004" s="881"/>
      <c r="R1004" s="882"/>
      <c r="S1004" s="882"/>
      <c r="T1004" s="882"/>
      <c r="U1004" s="882"/>
      <c r="V1004" s="882"/>
      <c r="W1004" s="882"/>
      <c r="X1004" s="882"/>
      <c r="Y1004" s="882"/>
    </row>
    <row r="1005" spans="1:25" x14ac:dyDescent="0.2">
      <c r="A1005" s="881"/>
      <c r="B1005" s="881"/>
      <c r="C1005" s="881"/>
      <c r="D1005" s="881"/>
      <c r="E1005" s="881"/>
      <c r="R1005" s="882"/>
      <c r="S1005" s="882"/>
      <c r="T1005" s="882"/>
      <c r="U1005" s="882"/>
      <c r="V1005" s="882"/>
      <c r="W1005" s="882"/>
      <c r="X1005" s="882"/>
      <c r="Y1005" s="882"/>
    </row>
    <row r="1006" spans="1:25" x14ac:dyDescent="0.2">
      <c r="A1006" s="881"/>
      <c r="B1006" s="881"/>
      <c r="C1006" s="881"/>
      <c r="D1006" s="881"/>
      <c r="E1006" s="881"/>
      <c r="R1006" s="882"/>
      <c r="S1006" s="882"/>
      <c r="T1006" s="882"/>
      <c r="U1006" s="882"/>
      <c r="V1006" s="882"/>
      <c r="W1006" s="882"/>
      <c r="X1006" s="882"/>
      <c r="Y1006" s="882"/>
    </row>
    <row r="1007" spans="1:25" x14ac:dyDescent="0.2">
      <c r="A1007" s="881"/>
      <c r="B1007" s="881"/>
      <c r="C1007" s="881"/>
      <c r="D1007" s="881"/>
      <c r="E1007" s="881"/>
      <c r="R1007" s="882"/>
      <c r="S1007" s="882"/>
      <c r="T1007" s="882"/>
      <c r="U1007" s="882"/>
      <c r="V1007" s="882"/>
      <c r="W1007" s="882"/>
      <c r="X1007" s="882"/>
      <c r="Y1007" s="882"/>
    </row>
    <row r="1008" spans="1:25" x14ac:dyDescent="0.2">
      <c r="A1008" s="881"/>
      <c r="B1008" s="881"/>
      <c r="C1008" s="881"/>
      <c r="D1008" s="881"/>
      <c r="E1008" s="881"/>
      <c r="R1008" s="882"/>
      <c r="S1008" s="882"/>
      <c r="T1008" s="882"/>
      <c r="U1008" s="882"/>
      <c r="V1008" s="882"/>
      <c r="W1008" s="882"/>
      <c r="X1008" s="882"/>
      <c r="Y1008" s="882"/>
    </row>
    <row r="1009" spans="1:25" x14ac:dyDescent="0.2">
      <c r="A1009" s="881"/>
      <c r="B1009" s="881"/>
      <c r="C1009" s="881"/>
      <c r="D1009" s="881"/>
      <c r="E1009" s="881"/>
      <c r="R1009" s="882"/>
      <c r="S1009" s="882"/>
      <c r="T1009" s="882"/>
      <c r="U1009" s="882"/>
      <c r="V1009" s="882"/>
      <c r="W1009" s="882"/>
      <c r="X1009" s="882"/>
      <c r="Y1009" s="882"/>
    </row>
    <row r="1010" spans="1:25" x14ac:dyDescent="0.2">
      <c r="A1010" s="881"/>
      <c r="B1010" s="881"/>
      <c r="C1010" s="881"/>
      <c r="D1010" s="881"/>
      <c r="E1010" s="881"/>
      <c r="R1010" s="882"/>
      <c r="S1010" s="882"/>
      <c r="T1010" s="882"/>
      <c r="U1010" s="882"/>
      <c r="V1010" s="882"/>
      <c r="W1010" s="882"/>
      <c r="X1010" s="882"/>
      <c r="Y1010" s="882"/>
    </row>
    <row r="1011" spans="1:25" x14ac:dyDescent="0.2">
      <c r="A1011" s="881"/>
      <c r="B1011" s="881"/>
      <c r="C1011" s="881"/>
      <c r="D1011" s="881"/>
      <c r="E1011" s="881"/>
      <c r="R1011" s="882"/>
      <c r="S1011" s="882"/>
      <c r="T1011" s="882"/>
      <c r="U1011" s="882"/>
      <c r="V1011" s="882"/>
      <c r="W1011" s="882"/>
      <c r="X1011" s="882"/>
      <c r="Y1011" s="882"/>
    </row>
    <row r="1012" spans="1:25" x14ac:dyDescent="0.2">
      <c r="A1012" s="881"/>
      <c r="B1012" s="881"/>
      <c r="C1012" s="881"/>
      <c r="D1012" s="881"/>
      <c r="E1012" s="881"/>
      <c r="R1012" s="882"/>
      <c r="S1012" s="882"/>
      <c r="T1012" s="882"/>
      <c r="U1012" s="882"/>
      <c r="V1012" s="882"/>
      <c r="W1012" s="882"/>
      <c r="X1012" s="882"/>
      <c r="Y1012" s="882"/>
    </row>
    <row r="1013" spans="1:25" x14ac:dyDescent="0.2">
      <c r="A1013" s="881"/>
      <c r="B1013" s="881"/>
      <c r="C1013" s="881"/>
      <c r="D1013" s="881"/>
      <c r="E1013" s="881"/>
      <c r="R1013" s="882"/>
      <c r="S1013" s="882"/>
      <c r="T1013" s="882"/>
      <c r="U1013" s="882"/>
      <c r="V1013" s="882"/>
      <c r="W1013" s="882"/>
      <c r="X1013" s="882"/>
      <c r="Y1013" s="882"/>
    </row>
    <row r="1014" spans="1:25" x14ac:dyDescent="0.2">
      <c r="A1014" s="881"/>
      <c r="B1014" s="881"/>
      <c r="C1014" s="881"/>
      <c r="D1014" s="881"/>
      <c r="E1014" s="881"/>
      <c r="R1014" s="882"/>
      <c r="S1014" s="882"/>
      <c r="T1014" s="882"/>
      <c r="U1014" s="882"/>
      <c r="V1014" s="882"/>
      <c r="W1014" s="882"/>
      <c r="X1014" s="882"/>
      <c r="Y1014" s="882"/>
    </row>
    <row r="1015" spans="1:25" x14ac:dyDescent="0.2">
      <c r="A1015" s="881"/>
      <c r="B1015" s="881"/>
      <c r="C1015" s="881"/>
      <c r="D1015" s="881"/>
      <c r="E1015" s="881"/>
      <c r="R1015" s="882"/>
      <c r="S1015" s="882"/>
      <c r="T1015" s="882"/>
      <c r="U1015" s="882"/>
      <c r="V1015" s="882"/>
      <c r="W1015" s="882"/>
      <c r="X1015" s="882"/>
      <c r="Y1015" s="882"/>
    </row>
    <row r="1016" spans="1:25" x14ac:dyDescent="0.2">
      <c r="A1016" s="881"/>
      <c r="B1016" s="881"/>
      <c r="C1016" s="881"/>
      <c r="D1016" s="881"/>
      <c r="E1016" s="881"/>
      <c r="R1016" s="882"/>
      <c r="S1016" s="882"/>
      <c r="T1016" s="882"/>
      <c r="U1016" s="882"/>
      <c r="V1016" s="882"/>
      <c r="W1016" s="882"/>
      <c r="X1016" s="882"/>
      <c r="Y1016" s="882"/>
    </row>
    <row r="1017" spans="1:25" x14ac:dyDescent="0.2">
      <c r="A1017" s="881"/>
      <c r="B1017" s="881"/>
      <c r="C1017" s="881"/>
      <c r="D1017" s="881"/>
      <c r="E1017" s="881"/>
      <c r="R1017" s="882"/>
      <c r="S1017" s="882"/>
      <c r="T1017" s="882"/>
      <c r="U1017" s="882"/>
      <c r="V1017" s="882"/>
      <c r="W1017" s="882"/>
      <c r="X1017" s="882"/>
      <c r="Y1017" s="882"/>
    </row>
    <row r="1018" spans="1:25" x14ac:dyDescent="0.2">
      <c r="A1018" s="881"/>
      <c r="B1018" s="881"/>
      <c r="C1018" s="881"/>
      <c r="D1018" s="881"/>
      <c r="E1018" s="881"/>
      <c r="R1018" s="882"/>
      <c r="S1018" s="882"/>
      <c r="T1018" s="882"/>
      <c r="U1018" s="882"/>
      <c r="V1018" s="882"/>
      <c r="W1018" s="882"/>
      <c r="X1018" s="882"/>
      <c r="Y1018" s="882"/>
    </row>
    <row r="1019" spans="1:25" x14ac:dyDescent="0.2">
      <c r="A1019" s="881"/>
      <c r="B1019" s="881"/>
      <c r="C1019" s="881"/>
      <c r="D1019" s="881"/>
      <c r="E1019" s="881"/>
      <c r="R1019" s="882"/>
      <c r="S1019" s="882"/>
      <c r="T1019" s="882"/>
      <c r="U1019" s="882"/>
      <c r="V1019" s="882"/>
      <c r="W1019" s="882"/>
      <c r="X1019" s="882"/>
      <c r="Y1019" s="882"/>
    </row>
    <row r="1020" spans="1:25" x14ac:dyDescent="0.2">
      <c r="A1020" s="881"/>
      <c r="B1020" s="881"/>
      <c r="C1020" s="881"/>
      <c r="D1020" s="881"/>
      <c r="E1020" s="881"/>
      <c r="R1020" s="882"/>
      <c r="S1020" s="882"/>
      <c r="T1020" s="882"/>
      <c r="U1020" s="882"/>
      <c r="V1020" s="882"/>
      <c r="W1020" s="882"/>
      <c r="X1020" s="882"/>
      <c r="Y1020" s="882"/>
    </row>
    <row r="1021" spans="1:25" x14ac:dyDescent="0.2">
      <c r="A1021" s="881"/>
      <c r="B1021" s="881"/>
      <c r="C1021" s="881"/>
      <c r="D1021" s="881"/>
      <c r="E1021" s="881"/>
      <c r="R1021" s="882"/>
      <c r="S1021" s="882"/>
      <c r="T1021" s="882"/>
      <c r="U1021" s="882"/>
      <c r="V1021" s="882"/>
      <c r="W1021" s="882"/>
      <c r="X1021" s="882"/>
      <c r="Y1021" s="882"/>
    </row>
    <row r="1022" spans="1:25" x14ac:dyDescent="0.2">
      <c r="A1022" s="881"/>
      <c r="B1022" s="881"/>
      <c r="C1022" s="881"/>
      <c r="D1022" s="881"/>
      <c r="E1022" s="881"/>
      <c r="R1022" s="882"/>
      <c r="S1022" s="882"/>
      <c r="T1022" s="882"/>
      <c r="U1022" s="882"/>
      <c r="V1022" s="882"/>
      <c r="W1022" s="882"/>
      <c r="X1022" s="882"/>
      <c r="Y1022" s="882"/>
    </row>
    <row r="1023" spans="1:25" x14ac:dyDescent="0.2">
      <c r="A1023" s="881"/>
      <c r="B1023" s="881"/>
      <c r="C1023" s="881"/>
      <c r="D1023" s="881"/>
      <c r="E1023" s="881"/>
      <c r="R1023" s="882"/>
      <c r="S1023" s="882"/>
      <c r="T1023" s="882"/>
      <c r="U1023" s="882"/>
      <c r="V1023" s="882"/>
      <c r="W1023" s="882"/>
      <c r="X1023" s="882"/>
      <c r="Y1023" s="882"/>
    </row>
    <row r="1024" spans="1:25" x14ac:dyDescent="0.2">
      <c r="A1024" s="881"/>
      <c r="B1024" s="881"/>
      <c r="C1024" s="881"/>
      <c r="D1024" s="881"/>
      <c r="E1024" s="881"/>
      <c r="R1024" s="882"/>
      <c r="S1024" s="882"/>
      <c r="T1024" s="882"/>
      <c r="U1024" s="882"/>
      <c r="V1024" s="882"/>
      <c r="W1024" s="882"/>
      <c r="X1024" s="882"/>
      <c r="Y1024" s="882"/>
    </row>
    <row r="1025" spans="1:25" x14ac:dyDescent="0.2">
      <c r="A1025" s="881"/>
      <c r="B1025" s="881"/>
      <c r="C1025" s="881"/>
      <c r="D1025" s="881"/>
      <c r="E1025" s="881"/>
      <c r="R1025" s="882"/>
      <c r="S1025" s="882"/>
      <c r="T1025" s="882"/>
      <c r="U1025" s="882"/>
      <c r="V1025" s="882"/>
      <c r="W1025" s="882"/>
      <c r="X1025" s="882"/>
      <c r="Y1025" s="882"/>
    </row>
    <row r="1026" spans="1:25" x14ac:dyDescent="0.2">
      <c r="A1026" s="881"/>
      <c r="B1026" s="881"/>
      <c r="C1026" s="881"/>
      <c r="D1026" s="881"/>
      <c r="E1026" s="881"/>
      <c r="R1026" s="882"/>
      <c r="S1026" s="882"/>
      <c r="T1026" s="882"/>
      <c r="U1026" s="882"/>
      <c r="V1026" s="882"/>
      <c r="W1026" s="882"/>
      <c r="X1026" s="882"/>
      <c r="Y1026" s="882"/>
    </row>
    <row r="1027" spans="1:25" x14ac:dyDescent="0.2">
      <c r="A1027" s="881"/>
      <c r="B1027" s="881"/>
      <c r="C1027" s="881"/>
      <c r="D1027" s="881"/>
      <c r="E1027" s="881"/>
      <c r="R1027" s="882"/>
      <c r="S1027" s="882"/>
      <c r="T1027" s="882"/>
      <c r="U1027" s="882"/>
      <c r="V1027" s="882"/>
      <c r="W1027" s="882"/>
      <c r="X1027" s="882"/>
      <c r="Y1027" s="882"/>
    </row>
    <row r="1028" spans="1:25" x14ac:dyDescent="0.2">
      <c r="A1028" s="881"/>
      <c r="B1028" s="881"/>
      <c r="C1028" s="881"/>
      <c r="D1028" s="881"/>
      <c r="E1028" s="881"/>
      <c r="R1028" s="882"/>
      <c r="S1028" s="882"/>
      <c r="T1028" s="882"/>
      <c r="U1028" s="882"/>
      <c r="V1028" s="882"/>
      <c r="W1028" s="882"/>
      <c r="X1028" s="882"/>
      <c r="Y1028" s="882"/>
    </row>
    <row r="1029" spans="1:25" x14ac:dyDescent="0.2">
      <c r="A1029" s="881"/>
      <c r="B1029" s="881"/>
      <c r="C1029" s="881"/>
      <c r="D1029" s="881"/>
      <c r="E1029" s="881"/>
      <c r="R1029" s="882"/>
      <c r="S1029" s="882"/>
      <c r="T1029" s="882"/>
      <c r="U1029" s="882"/>
      <c r="V1029" s="882"/>
      <c r="W1029" s="882"/>
      <c r="X1029" s="882"/>
      <c r="Y1029" s="882"/>
    </row>
    <row r="1030" spans="1:25" x14ac:dyDescent="0.2">
      <c r="A1030" s="881"/>
      <c r="B1030" s="881"/>
      <c r="C1030" s="881"/>
      <c r="D1030" s="881"/>
      <c r="E1030" s="881"/>
      <c r="R1030" s="882"/>
      <c r="S1030" s="882"/>
      <c r="T1030" s="882"/>
      <c r="U1030" s="882"/>
      <c r="V1030" s="882"/>
      <c r="W1030" s="882"/>
      <c r="X1030" s="882"/>
      <c r="Y1030" s="882"/>
    </row>
    <row r="1031" spans="1:25" x14ac:dyDescent="0.2">
      <c r="A1031" s="881"/>
      <c r="B1031" s="881"/>
      <c r="C1031" s="881"/>
      <c r="D1031" s="881"/>
      <c r="E1031" s="881"/>
      <c r="R1031" s="882"/>
      <c r="S1031" s="882"/>
      <c r="T1031" s="882"/>
      <c r="U1031" s="882"/>
      <c r="V1031" s="882"/>
      <c r="W1031" s="882"/>
      <c r="X1031" s="882"/>
      <c r="Y1031" s="882"/>
    </row>
    <row r="1032" spans="1:25" x14ac:dyDescent="0.2">
      <c r="A1032" s="881"/>
      <c r="B1032" s="881"/>
      <c r="C1032" s="881"/>
      <c r="D1032" s="881"/>
      <c r="E1032" s="881"/>
      <c r="R1032" s="882"/>
      <c r="S1032" s="882"/>
      <c r="T1032" s="882"/>
      <c r="U1032" s="882"/>
      <c r="V1032" s="882"/>
      <c r="W1032" s="882"/>
      <c r="X1032" s="882"/>
      <c r="Y1032" s="882"/>
    </row>
    <row r="1033" spans="1:25" x14ac:dyDescent="0.2">
      <c r="A1033" s="881"/>
      <c r="B1033" s="881"/>
      <c r="C1033" s="881"/>
      <c r="D1033" s="881"/>
      <c r="E1033" s="881"/>
      <c r="R1033" s="882"/>
      <c r="S1033" s="882"/>
      <c r="T1033" s="882"/>
      <c r="U1033" s="882"/>
      <c r="V1033" s="882"/>
      <c r="W1033" s="882"/>
      <c r="X1033" s="882"/>
      <c r="Y1033" s="882"/>
    </row>
    <row r="1034" spans="1:25" x14ac:dyDescent="0.2">
      <c r="A1034" s="881"/>
      <c r="B1034" s="881"/>
      <c r="C1034" s="881"/>
      <c r="D1034" s="881"/>
      <c r="E1034" s="881"/>
      <c r="R1034" s="882"/>
      <c r="S1034" s="882"/>
      <c r="T1034" s="882"/>
      <c r="U1034" s="882"/>
      <c r="V1034" s="882"/>
      <c r="W1034" s="882"/>
      <c r="X1034" s="882"/>
      <c r="Y1034" s="882"/>
    </row>
    <row r="1035" spans="1:25" x14ac:dyDescent="0.2">
      <c r="A1035" s="881"/>
      <c r="B1035" s="881"/>
      <c r="C1035" s="881"/>
      <c r="D1035" s="881"/>
      <c r="E1035" s="881"/>
      <c r="R1035" s="882"/>
      <c r="S1035" s="882"/>
      <c r="T1035" s="882"/>
      <c r="U1035" s="882"/>
      <c r="V1035" s="882"/>
      <c r="W1035" s="882"/>
      <c r="X1035" s="882"/>
      <c r="Y1035" s="882"/>
    </row>
    <row r="1036" spans="1:25" x14ac:dyDescent="0.2">
      <c r="A1036" s="881"/>
      <c r="B1036" s="881"/>
      <c r="C1036" s="881"/>
      <c r="D1036" s="881"/>
      <c r="E1036" s="881"/>
      <c r="R1036" s="882"/>
      <c r="S1036" s="882"/>
      <c r="T1036" s="882"/>
      <c r="U1036" s="882"/>
      <c r="V1036" s="882"/>
      <c r="W1036" s="882"/>
      <c r="X1036" s="882"/>
      <c r="Y1036" s="882"/>
    </row>
    <row r="1037" spans="1:25" x14ac:dyDescent="0.2">
      <c r="A1037" s="881"/>
      <c r="B1037" s="881"/>
      <c r="C1037" s="881"/>
      <c r="D1037" s="881"/>
      <c r="E1037" s="881"/>
      <c r="R1037" s="882"/>
      <c r="S1037" s="882"/>
      <c r="T1037" s="882"/>
      <c r="U1037" s="882"/>
      <c r="V1037" s="882"/>
      <c r="W1037" s="882"/>
      <c r="X1037" s="882"/>
      <c r="Y1037" s="882"/>
    </row>
    <row r="1038" spans="1:25" x14ac:dyDescent="0.2">
      <c r="A1038" s="881"/>
      <c r="B1038" s="881"/>
      <c r="C1038" s="881"/>
      <c r="D1038" s="881"/>
      <c r="E1038" s="881"/>
      <c r="R1038" s="882"/>
      <c r="S1038" s="882"/>
      <c r="T1038" s="882"/>
      <c r="U1038" s="882"/>
      <c r="V1038" s="882"/>
      <c r="W1038" s="882"/>
      <c r="X1038" s="882"/>
      <c r="Y1038" s="882"/>
    </row>
    <row r="1039" spans="1:25" x14ac:dyDescent="0.2">
      <c r="A1039" s="881"/>
      <c r="B1039" s="881"/>
      <c r="C1039" s="881"/>
      <c r="D1039" s="881"/>
      <c r="E1039" s="881"/>
      <c r="R1039" s="882"/>
      <c r="S1039" s="882"/>
      <c r="T1039" s="882"/>
      <c r="U1039" s="882"/>
      <c r="V1039" s="882"/>
      <c r="W1039" s="882"/>
      <c r="X1039" s="882"/>
      <c r="Y1039" s="882"/>
    </row>
    <row r="1040" spans="1:25" x14ac:dyDescent="0.2">
      <c r="A1040" s="881"/>
      <c r="B1040" s="881"/>
      <c r="C1040" s="881"/>
      <c r="D1040" s="881"/>
      <c r="E1040" s="881"/>
      <c r="R1040" s="882"/>
      <c r="S1040" s="882"/>
      <c r="T1040" s="882"/>
      <c r="U1040" s="882"/>
      <c r="V1040" s="882"/>
      <c r="W1040" s="882"/>
      <c r="X1040" s="882"/>
      <c r="Y1040" s="882"/>
    </row>
    <row r="1041" spans="1:25" x14ac:dyDescent="0.2">
      <c r="A1041" s="881"/>
      <c r="B1041" s="881"/>
      <c r="C1041" s="881"/>
      <c r="D1041" s="881"/>
      <c r="E1041" s="881"/>
      <c r="R1041" s="882"/>
      <c r="S1041" s="882"/>
      <c r="T1041" s="882"/>
      <c r="U1041" s="882"/>
      <c r="V1041" s="882"/>
      <c r="W1041" s="882"/>
      <c r="X1041" s="882"/>
      <c r="Y1041" s="882"/>
    </row>
    <row r="1042" spans="1:25" x14ac:dyDescent="0.2">
      <c r="A1042" s="881"/>
      <c r="B1042" s="881"/>
      <c r="C1042" s="881"/>
      <c r="D1042" s="881"/>
      <c r="E1042" s="881"/>
      <c r="R1042" s="882"/>
      <c r="S1042" s="882"/>
      <c r="T1042" s="882"/>
      <c r="U1042" s="882"/>
      <c r="V1042" s="882"/>
      <c r="W1042" s="882"/>
      <c r="X1042" s="882"/>
      <c r="Y1042" s="882"/>
    </row>
    <row r="1043" spans="1:25" x14ac:dyDescent="0.2">
      <c r="A1043" s="881"/>
      <c r="B1043" s="881"/>
      <c r="C1043" s="881"/>
      <c r="D1043" s="881"/>
      <c r="E1043" s="881"/>
      <c r="R1043" s="882"/>
      <c r="S1043" s="882"/>
      <c r="T1043" s="882"/>
      <c r="U1043" s="882"/>
      <c r="V1043" s="882"/>
      <c r="W1043" s="882"/>
      <c r="X1043" s="882"/>
      <c r="Y1043" s="882"/>
    </row>
    <row r="1044" spans="1:25" x14ac:dyDescent="0.2">
      <c r="A1044" s="881"/>
      <c r="B1044" s="881"/>
      <c r="C1044" s="881"/>
      <c r="D1044" s="881"/>
      <c r="E1044" s="881"/>
      <c r="R1044" s="882"/>
      <c r="S1044" s="882"/>
      <c r="T1044" s="882"/>
      <c r="U1044" s="882"/>
      <c r="V1044" s="882"/>
      <c r="W1044" s="882"/>
      <c r="X1044" s="882"/>
      <c r="Y1044" s="882"/>
    </row>
    <row r="1045" spans="1:25" x14ac:dyDescent="0.2">
      <c r="A1045" s="881"/>
      <c r="B1045" s="881"/>
      <c r="C1045" s="881"/>
      <c r="D1045" s="881"/>
      <c r="E1045" s="881"/>
      <c r="R1045" s="882"/>
      <c r="S1045" s="882"/>
      <c r="T1045" s="882"/>
      <c r="U1045" s="882"/>
      <c r="V1045" s="882"/>
      <c r="W1045" s="882"/>
      <c r="X1045" s="882"/>
      <c r="Y1045" s="882"/>
    </row>
    <row r="1046" spans="1:25" x14ac:dyDescent="0.2">
      <c r="A1046" s="881"/>
      <c r="B1046" s="881"/>
      <c r="C1046" s="881"/>
      <c r="D1046" s="881"/>
      <c r="E1046" s="881"/>
      <c r="R1046" s="882"/>
      <c r="S1046" s="882"/>
      <c r="T1046" s="882"/>
      <c r="U1046" s="882"/>
      <c r="V1046" s="882"/>
      <c r="W1046" s="882"/>
      <c r="X1046" s="882"/>
      <c r="Y1046" s="882"/>
    </row>
    <row r="1047" spans="1:25" x14ac:dyDescent="0.2">
      <c r="A1047" s="881"/>
      <c r="B1047" s="881"/>
      <c r="C1047" s="881"/>
      <c r="D1047" s="881"/>
      <c r="E1047" s="881"/>
      <c r="R1047" s="882"/>
      <c r="S1047" s="882"/>
      <c r="T1047" s="882"/>
      <c r="U1047" s="882"/>
      <c r="V1047" s="882"/>
      <c r="W1047" s="882"/>
      <c r="X1047" s="882"/>
      <c r="Y1047" s="882"/>
    </row>
    <row r="1048" spans="1:25" x14ac:dyDescent="0.2">
      <c r="A1048" s="881"/>
      <c r="B1048" s="881"/>
      <c r="C1048" s="881"/>
      <c r="D1048" s="881"/>
      <c r="E1048" s="881"/>
      <c r="R1048" s="882"/>
      <c r="S1048" s="882"/>
      <c r="T1048" s="882"/>
      <c r="U1048" s="882"/>
      <c r="V1048" s="882"/>
      <c r="W1048" s="882"/>
      <c r="X1048" s="882"/>
      <c r="Y1048" s="882"/>
    </row>
    <row r="1049" spans="1:25" x14ac:dyDescent="0.2">
      <c r="A1049" s="881"/>
      <c r="B1049" s="881"/>
      <c r="C1049" s="881"/>
      <c r="D1049" s="881"/>
      <c r="E1049" s="881"/>
      <c r="R1049" s="882"/>
      <c r="S1049" s="882"/>
      <c r="T1049" s="882"/>
      <c r="U1049" s="882"/>
      <c r="V1049" s="882"/>
      <c r="W1049" s="882"/>
      <c r="X1049" s="882"/>
      <c r="Y1049" s="882"/>
    </row>
    <row r="1050" spans="1:25" x14ac:dyDescent="0.2">
      <c r="A1050" s="881"/>
      <c r="B1050" s="881"/>
      <c r="C1050" s="881"/>
      <c r="D1050" s="881"/>
      <c r="E1050" s="881"/>
      <c r="R1050" s="882"/>
      <c r="S1050" s="882"/>
      <c r="T1050" s="882"/>
      <c r="U1050" s="882"/>
      <c r="V1050" s="882"/>
      <c r="W1050" s="882"/>
      <c r="X1050" s="882"/>
      <c r="Y1050" s="882"/>
    </row>
    <row r="1051" spans="1:25" x14ac:dyDescent="0.2">
      <c r="A1051" s="881"/>
      <c r="B1051" s="881"/>
      <c r="C1051" s="881"/>
      <c r="D1051" s="881"/>
      <c r="E1051" s="881"/>
      <c r="R1051" s="882"/>
      <c r="S1051" s="882"/>
      <c r="T1051" s="882"/>
      <c r="U1051" s="882"/>
      <c r="V1051" s="882"/>
      <c r="W1051" s="882"/>
      <c r="X1051" s="882"/>
      <c r="Y1051" s="882"/>
    </row>
    <row r="1052" spans="1:25" x14ac:dyDescent="0.2">
      <c r="A1052" s="881"/>
      <c r="B1052" s="881"/>
      <c r="C1052" s="881"/>
      <c r="D1052" s="881"/>
      <c r="E1052" s="881"/>
      <c r="R1052" s="882"/>
      <c r="S1052" s="882"/>
      <c r="T1052" s="882"/>
      <c r="U1052" s="882"/>
      <c r="V1052" s="882"/>
      <c r="W1052" s="882"/>
      <c r="X1052" s="882"/>
      <c r="Y1052" s="882"/>
    </row>
    <row r="1053" spans="1:25" x14ac:dyDescent="0.2">
      <c r="A1053" s="881"/>
      <c r="B1053" s="881"/>
      <c r="C1053" s="881"/>
      <c r="D1053" s="881"/>
      <c r="E1053" s="881"/>
      <c r="R1053" s="882"/>
      <c r="S1053" s="882"/>
      <c r="T1053" s="882"/>
      <c r="U1053" s="882"/>
      <c r="V1053" s="882"/>
      <c r="W1053" s="882"/>
      <c r="X1053" s="882"/>
      <c r="Y1053" s="882"/>
    </row>
    <row r="1054" spans="1:25" x14ac:dyDescent="0.2">
      <c r="A1054" s="881"/>
      <c r="B1054" s="881"/>
      <c r="C1054" s="881"/>
      <c r="D1054" s="881"/>
      <c r="E1054" s="881"/>
      <c r="R1054" s="882"/>
      <c r="S1054" s="882"/>
      <c r="T1054" s="882"/>
      <c r="U1054" s="882"/>
      <c r="V1054" s="882"/>
      <c r="W1054" s="882"/>
      <c r="X1054" s="882"/>
      <c r="Y1054" s="882"/>
    </row>
    <row r="1055" spans="1:25" x14ac:dyDescent="0.2">
      <c r="A1055" s="881"/>
      <c r="B1055" s="881"/>
      <c r="C1055" s="881"/>
      <c r="D1055" s="881"/>
      <c r="E1055" s="881"/>
      <c r="R1055" s="882"/>
      <c r="S1055" s="882"/>
      <c r="T1055" s="882"/>
      <c r="U1055" s="882"/>
      <c r="V1055" s="882"/>
      <c r="W1055" s="882"/>
      <c r="X1055" s="882"/>
      <c r="Y1055" s="882"/>
    </row>
    <row r="1056" spans="1:25" x14ac:dyDescent="0.2">
      <c r="A1056" s="881"/>
      <c r="B1056" s="881"/>
      <c r="C1056" s="881"/>
      <c r="D1056" s="881"/>
      <c r="E1056" s="881"/>
      <c r="R1056" s="882"/>
      <c r="S1056" s="882"/>
      <c r="T1056" s="882"/>
      <c r="U1056" s="882"/>
      <c r="V1056" s="882"/>
      <c r="W1056" s="882"/>
      <c r="X1056" s="882"/>
      <c r="Y1056" s="882"/>
    </row>
    <row r="1057" spans="1:25" x14ac:dyDescent="0.2">
      <c r="A1057" s="881"/>
      <c r="B1057" s="881"/>
      <c r="C1057" s="881"/>
      <c r="D1057" s="881"/>
      <c r="E1057" s="881"/>
      <c r="R1057" s="882"/>
      <c r="S1057" s="882"/>
      <c r="T1057" s="882"/>
      <c r="U1057" s="882"/>
      <c r="V1057" s="882"/>
      <c r="W1057" s="882"/>
      <c r="X1057" s="882"/>
      <c r="Y1057" s="882"/>
    </row>
    <row r="1058" spans="1:25" x14ac:dyDescent="0.2">
      <c r="A1058" s="881"/>
      <c r="B1058" s="881"/>
      <c r="C1058" s="881"/>
      <c r="D1058" s="881"/>
      <c r="E1058" s="881"/>
      <c r="R1058" s="882"/>
      <c r="S1058" s="882"/>
      <c r="T1058" s="882"/>
      <c r="U1058" s="882"/>
      <c r="V1058" s="882"/>
      <c r="W1058" s="882"/>
      <c r="X1058" s="882"/>
      <c r="Y1058" s="882"/>
    </row>
    <row r="1059" spans="1:25" x14ac:dyDescent="0.2">
      <c r="A1059" s="881"/>
      <c r="B1059" s="881"/>
      <c r="C1059" s="881"/>
      <c r="D1059" s="881"/>
      <c r="E1059" s="881"/>
      <c r="R1059" s="882"/>
      <c r="S1059" s="882"/>
      <c r="T1059" s="882"/>
      <c r="U1059" s="882"/>
      <c r="V1059" s="882"/>
      <c r="W1059" s="882"/>
      <c r="X1059" s="882"/>
      <c r="Y1059" s="882"/>
    </row>
    <row r="1060" spans="1:25" x14ac:dyDescent="0.2">
      <c r="A1060" s="881"/>
      <c r="B1060" s="881"/>
      <c r="C1060" s="881"/>
      <c r="D1060" s="881"/>
      <c r="E1060" s="881"/>
      <c r="R1060" s="882"/>
      <c r="S1060" s="882"/>
      <c r="T1060" s="882"/>
      <c r="U1060" s="882"/>
      <c r="V1060" s="882"/>
      <c r="W1060" s="882"/>
      <c r="X1060" s="882"/>
      <c r="Y1060" s="882"/>
    </row>
    <row r="1061" spans="1:25" x14ac:dyDescent="0.2">
      <c r="A1061" s="881"/>
      <c r="B1061" s="881"/>
      <c r="C1061" s="881"/>
      <c r="D1061" s="881"/>
      <c r="E1061" s="881"/>
      <c r="R1061" s="882"/>
      <c r="S1061" s="882"/>
      <c r="T1061" s="882"/>
      <c r="U1061" s="882"/>
      <c r="V1061" s="882"/>
      <c r="W1061" s="882"/>
      <c r="X1061" s="882"/>
      <c r="Y1061" s="882"/>
    </row>
    <row r="1062" spans="1:25" x14ac:dyDescent="0.2">
      <c r="A1062" s="881"/>
      <c r="B1062" s="881"/>
      <c r="C1062" s="881"/>
      <c r="D1062" s="881"/>
      <c r="E1062" s="881"/>
      <c r="R1062" s="882"/>
      <c r="S1062" s="882"/>
      <c r="T1062" s="882"/>
      <c r="U1062" s="882"/>
      <c r="V1062" s="882"/>
      <c r="W1062" s="882"/>
      <c r="X1062" s="882"/>
      <c r="Y1062" s="882"/>
    </row>
    <row r="1063" spans="1:25" x14ac:dyDescent="0.2">
      <c r="A1063" s="881"/>
      <c r="B1063" s="881"/>
      <c r="C1063" s="881"/>
      <c r="D1063" s="881"/>
      <c r="E1063" s="881"/>
      <c r="R1063" s="882"/>
      <c r="S1063" s="882"/>
      <c r="T1063" s="882"/>
      <c r="U1063" s="882"/>
      <c r="V1063" s="882"/>
      <c r="W1063" s="882"/>
      <c r="X1063" s="882"/>
      <c r="Y1063" s="882"/>
    </row>
    <row r="1064" spans="1:25" x14ac:dyDescent="0.2">
      <c r="A1064" s="881"/>
      <c r="B1064" s="881"/>
      <c r="C1064" s="881"/>
      <c r="D1064" s="881"/>
      <c r="E1064" s="881"/>
      <c r="R1064" s="882"/>
      <c r="S1064" s="882"/>
      <c r="T1064" s="882"/>
      <c r="U1064" s="882"/>
      <c r="V1064" s="882"/>
      <c r="W1064" s="882"/>
      <c r="X1064" s="882"/>
      <c r="Y1064" s="882"/>
    </row>
    <row r="1065" spans="1:25" x14ac:dyDescent="0.2">
      <c r="A1065" s="881"/>
      <c r="B1065" s="881"/>
      <c r="C1065" s="881"/>
      <c r="D1065" s="881"/>
      <c r="E1065" s="881"/>
      <c r="R1065" s="882"/>
      <c r="S1065" s="882"/>
      <c r="T1065" s="882"/>
      <c r="U1065" s="882"/>
      <c r="V1065" s="882"/>
      <c r="W1065" s="882"/>
      <c r="X1065" s="882"/>
      <c r="Y1065" s="882"/>
    </row>
    <row r="1066" spans="1:25" x14ac:dyDescent="0.2">
      <c r="A1066" s="881"/>
      <c r="B1066" s="881"/>
      <c r="C1066" s="881"/>
      <c r="D1066" s="881"/>
      <c r="E1066" s="881"/>
      <c r="R1066" s="882"/>
      <c r="S1066" s="882"/>
      <c r="T1066" s="882"/>
      <c r="U1066" s="882"/>
      <c r="V1066" s="882"/>
      <c r="W1066" s="882"/>
      <c r="X1066" s="882"/>
      <c r="Y1066" s="882"/>
    </row>
    <row r="1067" spans="1:25" x14ac:dyDescent="0.2">
      <c r="A1067" s="881"/>
      <c r="B1067" s="881"/>
      <c r="C1067" s="881"/>
      <c r="D1067" s="881"/>
      <c r="E1067" s="881"/>
      <c r="R1067" s="882"/>
      <c r="S1067" s="882"/>
      <c r="T1067" s="882"/>
      <c r="U1067" s="882"/>
      <c r="V1067" s="882"/>
      <c r="W1067" s="882"/>
      <c r="X1067" s="882"/>
      <c r="Y1067" s="882"/>
    </row>
    <row r="1068" spans="1:25" x14ac:dyDescent="0.2">
      <c r="A1068" s="881"/>
      <c r="B1068" s="881"/>
      <c r="C1068" s="881"/>
      <c r="D1068" s="881"/>
      <c r="E1068" s="881"/>
      <c r="R1068" s="882"/>
      <c r="S1068" s="882"/>
      <c r="T1068" s="882"/>
      <c r="U1068" s="882"/>
      <c r="V1068" s="882"/>
      <c r="W1068" s="882"/>
      <c r="X1068" s="882"/>
      <c r="Y1068" s="882"/>
    </row>
    <row r="1069" spans="1:25" x14ac:dyDescent="0.2">
      <c r="A1069" s="881"/>
      <c r="B1069" s="881"/>
      <c r="C1069" s="881"/>
      <c r="D1069" s="881"/>
      <c r="E1069" s="881"/>
      <c r="R1069" s="882"/>
      <c r="S1069" s="882"/>
      <c r="T1069" s="882"/>
      <c r="U1069" s="882"/>
      <c r="V1069" s="882"/>
      <c r="W1069" s="882"/>
      <c r="X1069" s="882"/>
      <c r="Y1069" s="882"/>
    </row>
    <row r="1070" spans="1:25" x14ac:dyDescent="0.2">
      <c r="A1070" s="881"/>
      <c r="B1070" s="881"/>
      <c r="C1070" s="881"/>
      <c r="D1070" s="881"/>
      <c r="E1070" s="881"/>
      <c r="R1070" s="882"/>
      <c r="S1070" s="882"/>
      <c r="T1070" s="882"/>
      <c r="U1070" s="882"/>
      <c r="V1070" s="882"/>
      <c r="W1070" s="882"/>
      <c r="X1070" s="882"/>
      <c r="Y1070" s="882"/>
    </row>
    <row r="1071" spans="1:25" x14ac:dyDescent="0.2">
      <c r="A1071" s="881"/>
      <c r="B1071" s="881"/>
      <c r="C1071" s="881"/>
      <c r="D1071" s="881"/>
      <c r="E1071" s="881"/>
      <c r="R1071" s="882"/>
      <c r="S1071" s="882"/>
      <c r="T1071" s="882"/>
      <c r="U1071" s="882"/>
      <c r="V1071" s="882"/>
      <c r="W1071" s="882"/>
      <c r="X1071" s="882"/>
      <c r="Y1071" s="882"/>
    </row>
    <row r="1072" spans="1:25" x14ac:dyDescent="0.2">
      <c r="A1072" s="881"/>
      <c r="B1072" s="881"/>
      <c r="C1072" s="881"/>
      <c r="D1072" s="881"/>
      <c r="E1072" s="881"/>
      <c r="R1072" s="882"/>
      <c r="S1072" s="882"/>
      <c r="T1072" s="882"/>
      <c r="U1072" s="882"/>
      <c r="V1072" s="882"/>
      <c r="W1072" s="882"/>
      <c r="X1072" s="882"/>
      <c r="Y1072" s="882"/>
    </row>
    <row r="1073" spans="1:25" x14ac:dyDescent="0.2">
      <c r="A1073" s="881"/>
      <c r="B1073" s="881"/>
      <c r="C1073" s="881"/>
      <c r="D1073" s="881"/>
      <c r="E1073" s="881"/>
      <c r="R1073" s="882"/>
      <c r="S1073" s="882"/>
      <c r="T1073" s="882"/>
      <c r="U1073" s="882"/>
      <c r="V1073" s="882"/>
      <c r="W1073" s="882"/>
      <c r="X1073" s="882"/>
      <c r="Y1073" s="882"/>
    </row>
    <row r="1074" spans="1:25" x14ac:dyDescent="0.2">
      <c r="A1074" s="881"/>
      <c r="B1074" s="881"/>
      <c r="C1074" s="881"/>
      <c r="D1074" s="881"/>
      <c r="E1074" s="881"/>
      <c r="R1074" s="882"/>
      <c r="S1074" s="882"/>
      <c r="T1074" s="882"/>
      <c r="U1074" s="882"/>
      <c r="V1074" s="882"/>
      <c r="W1074" s="882"/>
      <c r="X1074" s="882"/>
      <c r="Y1074" s="882"/>
    </row>
    <row r="1075" spans="1:25" x14ac:dyDescent="0.2">
      <c r="A1075" s="881"/>
      <c r="B1075" s="881"/>
      <c r="C1075" s="881"/>
      <c r="D1075" s="881"/>
      <c r="E1075" s="881"/>
      <c r="R1075" s="882"/>
      <c r="S1075" s="882"/>
      <c r="T1075" s="882"/>
      <c r="U1075" s="882"/>
      <c r="V1075" s="882"/>
      <c r="W1075" s="882"/>
      <c r="X1075" s="882"/>
      <c r="Y1075" s="882"/>
    </row>
    <row r="1076" spans="1:25" x14ac:dyDescent="0.2">
      <c r="A1076" s="881"/>
      <c r="B1076" s="881"/>
      <c r="C1076" s="881"/>
      <c r="D1076" s="881"/>
      <c r="E1076" s="881"/>
      <c r="R1076" s="882"/>
      <c r="S1076" s="882"/>
      <c r="T1076" s="882"/>
      <c r="U1076" s="882"/>
      <c r="V1076" s="882"/>
      <c r="W1076" s="882"/>
      <c r="X1076" s="882"/>
      <c r="Y1076" s="882"/>
    </row>
    <row r="1077" spans="1:25" x14ac:dyDescent="0.2">
      <c r="A1077" s="881"/>
      <c r="B1077" s="881"/>
      <c r="C1077" s="881"/>
      <c r="D1077" s="881"/>
      <c r="E1077" s="881"/>
      <c r="R1077" s="882"/>
      <c r="S1077" s="882"/>
      <c r="T1077" s="882"/>
      <c r="U1077" s="882"/>
      <c r="V1077" s="882"/>
      <c r="W1077" s="882"/>
      <c r="X1077" s="882"/>
      <c r="Y1077" s="882"/>
    </row>
    <row r="1078" spans="1:25" x14ac:dyDescent="0.2">
      <c r="A1078" s="881"/>
      <c r="B1078" s="881"/>
      <c r="C1078" s="881"/>
      <c r="D1078" s="881"/>
      <c r="E1078" s="881"/>
      <c r="R1078" s="882"/>
      <c r="S1078" s="882"/>
      <c r="T1078" s="882"/>
      <c r="U1078" s="882"/>
      <c r="V1078" s="882"/>
      <c r="W1078" s="882"/>
      <c r="X1078" s="882"/>
      <c r="Y1078" s="882"/>
    </row>
    <row r="1079" spans="1:25" x14ac:dyDescent="0.2">
      <c r="A1079" s="881"/>
      <c r="B1079" s="881"/>
      <c r="C1079" s="881"/>
      <c r="D1079" s="881"/>
      <c r="E1079" s="881"/>
      <c r="R1079" s="882"/>
      <c r="S1079" s="882"/>
      <c r="T1079" s="882"/>
      <c r="U1079" s="882"/>
      <c r="V1079" s="882"/>
      <c r="W1079" s="882"/>
      <c r="X1079" s="882"/>
      <c r="Y1079" s="882"/>
    </row>
    <row r="1080" spans="1:25" x14ac:dyDescent="0.2">
      <c r="A1080" s="881"/>
      <c r="B1080" s="881"/>
      <c r="C1080" s="881"/>
      <c r="D1080" s="881"/>
      <c r="E1080" s="881"/>
      <c r="R1080" s="882"/>
      <c r="S1080" s="882"/>
      <c r="T1080" s="882"/>
      <c r="U1080" s="882"/>
      <c r="V1080" s="882"/>
      <c r="W1080" s="882"/>
      <c r="X1080" s="882"/>
      <c r="Y1080" s="882"/>
    </row>
    <row r="1081" spans="1:25" x14ac:dyDescent="0.2">
      <c r="A1081" s="881"/>
      <c r="B1081" s="881"/>
      <c r="C1081" s="881"/>
      <c r="D1081" s="881"/>
      <c r="E1081" s="881"/>
      <c r="R1081" s="882"/>
      <c r="S1081" s="882"/>
      <c r="T1081" s="882"/>
      <c r="U1081" s="882"/>
      <c r="V1081" s="882"/>
      <c r="W1081" s="882"/>
      <c r="X1081" s="882"/>
      <c r="Y1081" s="882"/>
    </row>
    <row r="1082" spans="1:25" x14ac:dyDescent="0.2">
      <c r="A1082" s="881"/>
      <c r="B1082" s="881"/>
      <c r="C1082" s="881"/>
      <c r="D1082" s="881"/>
      <c r="E1082" s="881"/>
      <c r="R1082" s="882"/>
      <c r="S1082" s="882"/>
      <c r="T1082" s="882"/>
      <c r="U1082" s="882"/>
      <c r="V1082" s="882"/>
      <c r="W1082" s="882"/>
      <c r="X1082" s="882"/>
      <c r="Y1082" s="882"/>
    </row>
    <row r="1083" spans="1:25" x14ac:dyDescent="0.2">
      <c r="A1083" s="881"/>
      <c r="B1083" s="881"/>
      <c r="C1083" s="881"/>
      <c r="D1083" s="881"/>
      <c r="E1083" s="881"/>
      <c r="R1083" s="882"/>
      <c r="S1083" s="882"/>
      <c r="T1083" s="882"/>
      <c r="U1083" s="882"/>
      <c r="V1083" s="882"/>
      <c r="W1083" s="882"/>
      <c r="X1083" s="882"/>
      <c r="Y1083" s="882"/>
    </row>
    <row r="1084" spans="1:25" x14ac:dyDescent="0.2">
      <c r="A1084" s="881"/>
      <c r="B1084" s="881"/>
      <c r="C1084" s="881"/>
      <c r="D1084" s="881"/>
      <c r="E1084" s="881"/>
      <c r="R1084" s="882"/>
      <c r="S1084" s="882"/>
      <c r="T1084" s="882"/>
      <c r="U1084" s="882"/>
      <c r="V1084" s="882"/>
      <c r="W1084" s="882"/>
      <c r="X1084" s="882"/>
      <c r="Y1084" s="882"/>
    </row>
    <row r="1085" spans="1:25" x14ac:dyDescent="0.2">
      <c r="A1085" s="881"/>
      <c r="B1085" s="881"/>
      <c r="C1085" s="881"/>
      <c r="D1085" s="881"/>
      <c r="E1085" s="881"/>
      <c r="R1085" s="882"/>
      <c r="S1085" s="882"/>
      <c r="T1085" s="882"/>
      <c r="U1085" s="882"/>
      <c r="V1085" s="882"/>
      <c r="W1085" s="882"/>
      <c r="X1085" s="882"/>
      <c r="Y1085" s="882"/>
    </row>
    <row r="1086" spans="1:25" x14ac:dyDescent="0.2">
      <c r="A1086" s="881"/>
      <c r="B1086" s="881"/>
      <c r="C1086" s="881"/>
      <c r="D1086" s="881"/>
      <c r="E1086" s="881"/>
      <c r="R1086" s="882"/>
      <c r="S1086" s="882"/>
      <c r="T1086" s="882"/>
      <c r="U1086" s="882"/>
      <c r="V1086" s="882"/>
      <c r="W1086" s="882"/>
      <c r="X1086" s="882"/>
      <c r="Y1086" s="882"/>
    </row>
    <row r="1087" spans="1:25" x14ac:dyDescent="0.2">
      <c r="A1087" s="881"/>
      <c r="B1087" s="881"/>
      <c r="C1087" s="881"/>
      <c r="D1087" s="881"/>
      <c r="E1087" s="881"/>
      <c r="R1087" s="882"/>
      <c r="S1087" s="882"/>
      <c r="T1087" s="882"/>
      <c r="U1087" s="882"/>
      <c r="V1087" s="882"/>
      <c r="W1087" s="882"/>
      <c r="X1087" s="882"/>
      <c r="Y1087" s="882"/>
    </row>
    <row r="1088" spans="1:25" x14ac:dyDescent="0.2">
      <c r="A1088" s="881"/>
      <c r="B1088" s="881"/>
      <c r="C1088" s="881"/>
      <c r="D1088" s="881"/>
      <c r="E1088" s="881"/>
      <c r="R1088" s="882"/>
      <c r="S1088" s="882"/>
      <c r="T1088" s="882"/>
      <c r="U1088" s="882"/>
      <c r="V1088" s="882"/>
      <c r="W1088" s="882"/>
      <c r="X1088" s="882"/>
      <c r="Y1088" s="882"/>
    </row>
    <row r="1089" spans="1:25" x14ac:dyDescent="0.2">
      <c r="A1089" s="881"/>
      <c r="B1089" s="881"/>
      <c r="C1089" s="881"/>
      <c r="D1089" s="881"/>
      <c r="E1089" s="881"/>
      <c r="R1089" s="882"/>
      <c r="S1089" s="882"/>
      <c r="T1089" s="882"/>
      <c r="U1089" s="882"/>
      <c r="V1089" s="882"/>
      <c r="W1089" s="882"/>
      <c r="X1089" s="882"/>
      <c r="Y1089" s="882"/>
    </row>
    <row r="1090" spans="1:25" x14ac:dyDescent="0.2">
      <c r="A1090" s="881"/>
      <c r="B1090" s="881"/>
      <c r="C1090" s="881"/>
      <c r="D1090" s="881"/>
      <c r="E1090" s="881"/>
      <c r="R1090" s="882"/>
      <c r="S1090" s="882"/>
      <c r="T1090" s="882"/>
      <c r="U1090" s="882"/>
      <c r="V1090" s="882"/>
      <c r="W1090" s="882"/>
      <c r="X1090" s="882"/>
      <c r="Y1090" s="882"/>
    </row>
    <row r="1091" spans="1:25" x14ac:dyDescent="0.2">
      <c r="A1091" s="881"/>
      <c r="B1091" s="881"/>
      <c r="C1091" s="881"/>
      <c r="D1091" s="881"/>
      <c r="E1091" s="881"/>
      <c r="R1091" s="882"/>
      <c r="S1091" s="882"/>
      <c r="T1091" s="882"/>
      <c r="U1091" s="882"/>
      <c r="V1091" s="882"/>
      <c r="W1091" s="882"/>
      <c r="X1091" s="882"/>
      <c r="Y1091" s="882"/>
    </row>
    <row r="1092" spans="1:25" x14ac:dyDescent="0.2">
      <c r="A1092" s="881"/>
      <c r="B1092" s="881"/>
      <c r="C1092" s="881"/>
      <c r="D1092" s="881"/>
      <c r="E1092" s="881"/>
      <c r="R1092" s="882"/>
      <c r="S1092" s="882"/>
      <c r="T1092" s="882"/>
      <c r="U1092" s="882"/>
      <c r="V1092" s="882"/>
      <c r="W1092" s="882"/>
      <c r="X1092" s="882"/>
      <c r="Y1092" s="882"/>
    </row>
    <row r="1093" spans="1:25" x14ac:dyDescent="0.2">
      <c r="A1093" s="881"/>
      <c r="B1093" s="881"/>
      <c r="C1093" s="881"/>
      <c r="D1093" s="881"/>
      <c r="E1093" s="881"/>
      <c r="R1093" s="882"/>
      <c r="S1093" s="882"/>
      <c r="T1093" s="882"/>
      <c r="U1093" s="882"/>
      <c r="V1093" s="882"/>
      <c r="W1093" s="882"/>
      <c r="X1093" s="882"/>
      <c r="Y1093" s="882"/>
    </row>
    <row r="1094" spans="1:25" x14ac:dyDescent="0.2">
      <c r="A1094" s="881"/>
      <c r="B1094" s="881"/>
      <c r="C1094" s="881"/>
      <c r="D1094" s="881"/>
      <c r="E1094" s="881"/>
      <c r="R1094" s="882"/>
      <c r="S1094" s="882"/>
      <c r="T1094" s="882"/>
      <c r="U1094" s="882"/>
      <c r="V1094" s="882"/>
      <c r="W1094" s="882"/>
      <c r="X1094" s="882"/>
      <c r="Y1094" s="882"/>
    </row>
    <row r="1095" spans="1:25" x14ac:dyDescent="0.2">
      <c r="A1095" s="881"/>
      <c r="B1095" s="881"/>
      <c r="C1095" s="881"/>
      <c r="D1095" s="881"/>
      <c r="E1095" s="881"/>
      <c r="R1095" s="882"/>
      <c r="S1095" s="882"/>
      <c r="T1095" s="882"/>
      <c r="U1095" s="882"/>
      <c r="V1095" s="882"/>
      <c r="W1095" s="882"/>
      <c r="X1095" s="882"/>
      <c r="Y1095" s="882"/>
    </row>
    <row r="1096" spans="1:25" x14ac:dyDescent="0.2">
      <c r="A1096" s="881"/>
      <c r="B1096" s="881"/>
      <c r="C1096" s="881"/>
      <c r="D1096" s="881"/>
      <c r="E1096" s="881"/>
      <c r="R1096" s="882"/>
      <c r="S1096" s="882"/>
      <c r="T1096" s="882"/>
      <c r="U1096" s="882"/>
      <c r="V1096" s="882"/>
      <c r="W1096" s="882"/>
      <c r="X1096" s="882"/>
      <c r="Y1096" s="882"/>
    </row>
    <row r="1097" spans="1:25" x14ac:dyDescent="0.2">
      <c r="A1097" s="881"/>
      <c r="B1097" s="881"/>
      <c r="C1097" s="881"/>
      <c r="D1097" s="881"/>
      <c r="E1097" s="881"/>
      <c r="R1097" s="882"/>
      <c r="S1097" s="882"/>
      <c r="T1097" s="882"/>
      <c r="U1097" s="882"/>
      <c r="V1097" s="882"/>
      <c r="W1097" s="882"/>
      <c r="X1097" s="882"/>
      <c r="Y1097" s="882"/>
    </row>
    <row r="1098" spans="1:25" x14ac:dyDescent="0.2">
      <c r="A1098" s="881"/>
      <c r="B1098" s="881"/>
      <c r="C1098" s="881"/>
      <c r="D1098" s="881"/>
      <c r="E1098" s="881"/>
      <c r="R1098" s="882"/>
      <c r="S1098" s="882"/>
      <c r="T1098" s="882"/>
      <c r="U1098" s="882"/>
      <c r="V1098" s="882"/>
      <c r="W1098" s="882"/>
      <c r="X1098" s="882"/>
      <c r="Y1098" s="882"/>
    </row>
    <row r="1099" spans="1:25" x14ac:dyDescent="0.2">
      <c r="A1099" s="881"/>
      <c r="B1099" s="881"/>
      <c r="C1099" s="881"/>
      <c r="D1099" s="881"/>
      <c r="E1099" s="881"/>
      <c r="R1099" s="882"/>
      <c r="S1099" s="882"/>
      <c r="T1099" s="882"/>
      <c r="U1099" s="882"/>
      <c r="V1099" s="882"/>
      <c r="W1099" s="882"/>
      <c r="X1099" s="882"/>
      <c r="Y1099" s="882"/>
    </row>
    <row r="1100" spans="1:25" x14ac:dyDescent="0.2">
      <c r="A1100" s="881"/>
      <c r="B1100" s="881"/>
      <c r="C1100" s="881"/>
      <c r="D1100" s="881"/>
      <c r="E1100" s="881"/>
      <c r="R1100" s="882"/>
      <c r="S1100" s="882"/>
      <c r="T1100" s="882"/>
      <c r="U1100" s="882"/>
      <c r="V1100" s="882"/>
      <c r="W1100" s="882"/>
      <c r="X1100" s="882"/>
      <c r="Y1100" s="882"/>
    </row>
    <row r="1101" spans="1:25" x14ac:dyDescent="0.2">
      <c r="A1101" s="881"/>
      <c r="B1101" s="881"/>
      <c r="C1101" s="881"/>
      <c r="D1101" s="881"/>
      <c r="E1101" s="881"/>
      <c r="R1101" s="882"/>
      <c r="S1101" s="882"/>
      <c r="T1101" s="882"/>
      <c r="U1101" s="882"/>
      <c r="V1101" s="882"/>
      <c r="W1101" s="882"/>
      <c r="X1101" s="882"/>
      <c r="Y1101" s="882"/>
    </row>
    <row r="1102" spans="1:25" x14ac:dyDescent="0.2">
      <c r="A1102" s="881"/>
      <c r="B1102" s="881"/>
      <c r="C1102" s="881"/>
      <c r="D1102" s="881"/>
      <c r="E1102" s="881"/>
      <c r="R1102" s="882"/>
      <c r="S1102" s="882"/>
      <c r="T1102" s="882"/>
      <c r="U1102" s="882"/>
      <c r="V1102" s="882"/>
      <c r="W1102" s="882"/>
      <c r="X1102" s="882"/>
      <c r="Y1102" s="882"/>
    </row>
    <row r="1103" spans="1:25" x14ac:dyDescent="0.2">
      <c r="A1103" s="881"/>
      <c r="B1103" s="881"/>
      <c r="C1103" s="881"/>
      <c r="D1103" s="881"/>
      <c r="E1103" s="881"/>
      <c r="R1103" s="882"/>
      <c r="S1103" s="882"/>
      <c r="T1103" s="882"/>
      <c r="U1103" s="882"/>
      <c r="V1103" s="882"/>
      <c r="W1103" s="882"/>
      <c r="X1103" s="882"/>
      <c r="Y1103" s="882"/>
    </row>
    <row r="1104" spans="1:25" x14ac:dyDescent="0.2">
      <c r="A1104" s="881"/>
      <c r="B1104" s="881"/>
      <c r="C1104" s="881"/>
      <c r="D1104" s="881"/>
      <c r="E1104" s="881"/>
      <c r="R1104" s="882"/>
      <c r="S1104" s="882"/>
      <c r="T1104" s="882"/>
      <c r="U1104" s="882"/>
      <c r="V1104" s="882"/>
      <c r="W1104" s="882"/>
      <c r="X1104" s="882"/>
      <c r="Y1104" s="882"/>
    </row>
    <row r="1105" spans="1:25" x14ac:dyDescent="0.2">
      <c r="A1105" s="881"/>
      <c r="B1105" s="881"/>
      <c r="C1105" s="881"/>
      <c r="D1105" s="881"/>
      <c r="E1105" s="881"/>
      <c r="R1105" s="882"/>
      <c r="S1105" s="882"/>
      <c r="T1105" s="882"/>
      <c r="U1105" s="882"/>
      <c r="V1105" s="882"/>
      <c r="W1105" s="882"/>
      <c r="X1105" s="882"/>
      <c r="Y1105" s="882"/>
    </row>
    <row r="1106" spans="1:25" x14ac:dyDescent="0.2">
      <c r="A1106" s="881"/>
      <c r="B1106" s="881"/>
      <c r="C1106" s="881"/>
      <c r="D1106" s="881"/>
      <c r="E1106" s="881"/>
      <c r="R1106" s="882"/>
      <c r="S1106" s="882"/>
      <c r="T1106" s="882"/>
      <c r="U1106" s="882"/>
      <c r="V1106" s="882"/>
      <c r="W1106" s="882"/>
      <c r="X1106" s="882"/>
      <c r="Y1106" s="882"/>
    </row>
    <row r="1107" spans="1:25" x14ac:dyDescent="0.2">
      <c r="A1107" s="881"/>
      <c r="B1107" s="881"/>
      <c r="C1107" s="881"/>
      <c r="D1107" s="881"/>
      <c r="E1107" s="881"/>
      <c r="R1107" s="882"/>
      <c r="S1107" s="882"/>
      <c r="T1107" s="882"/>
      <c r="U1107" s="882"/>
      <c r="V1107" s="882"/>
      <c r="W1107" s="882"/>
      <c r="X1107" s="882"/>
      <c r="Y1107" s="882"/>
    </row>
    <row r="1108" spans="1:25" x14ac:dyDescent="0.2">
      <c r="A1108" s="881"/>
      <c r="B1108" s="881"/>
      <c r="C1108" s="881"/>
      <c r="D1108" s="881"/>
      <c r="E1108" s="881"/>
      <c r="R1108" s="882"/>
      <c r="S1108" s="882"/>
      <c r="T1108" s="882"/>
      <c r="U1108" s="882"/>
      <c r="V1108" s="882"/>
      <c r="W1108" s="882"/>
      <c r="X1108" s="882"/>
      <c r="Y1108" s="882"/>
    </row>
    <row r="1109" spans="1:25" x14ac:dyDescent="0.2">
      <c r="A1109" s="881"/>
      <c r="B1109" s="881"/>
      <c r="C1109" s="881"/>
      <c r="D1109" s="881"/>
      <c r="E1109" s="881"/>
      <c r="R1109" s="882"/>
      <c r="S1109" s="882"/>
      <c r="T1109" s="882"/>
      <c r="U1109" s="882"/>
      <c r="V1109" s="882"/>
      <c r="W1109" s="882"/>
      <c r="X1109" s="882"/>
      <c r="Y1109" s="882"/>
    </row>
    <row r="1110" spans="1:25" x14ac:dyDescent="0.2">
      <c r="A1110" s="881"/>
      <c r="B1110" s="881"/>
      <c r="C1110" s="881"/>
      <c r="D1110" s="881"/>
      <c r="E1110" s="881"/>
      <c r="R1110" s="882"/>
      <c r="S1110" s="882"/>
      <c r="T1110" s="882"/>
      <c r="U1110" s="882"/>
      <c r="V1110" s="882"/>
      <c r="W1110" s="882"/>
      <c r="X1110" s="882"/>
      <c r="Y1110" s="882"/>
    </row>
    <row r="1111" spans="1:25" x14ac:dyDescent="0.2">
      <c r="A1111" s="881"/>
      <c r="B1111" s="881"/>
      <c r="C1111" s="881"/>
      <c r="D1111" s="881"/>
      <c r="E1111" s="881"/>
      <c r="R1111" s="882"/>
      <c r="S1111" s="882"/>
      <c r="T1111" s="882"/>
      <c r="U1111" s="882"/>
      <c r="V1111" s="882"/>
      <c r="W1111" s="882"/>
      <c r="X1111" s="882"/>
      <c r="Y1111" s="882"/>
    </row>
    <row r="1112" spans="1:25" x14ac:dyDescent="0.2">
      <c r="A1112" s="881"/>
      <c r="B1112" s="881"/>
      <c r="C1112" s="881"/>
      <c r="D1112" s="881"/>
      <c r="E1112" s="881"/>
      <c r="R1112" s="882"/>
      <c r="S1112" s="882"/>
      <c r="T1112" s="882"/>
      <c r="U1112" s="882"/>
      <c r="V1112" s="882"/>
      <c r="W1112" s="882"/>
      <c r="X1112" s="882"/>
      <c r="Y1112" s="882"/>
    </row>
    <row r="1113" spans="1:25" x14ac:dyDescent="0.2">
      <c r="A1113" s="881"/>
      <c r="B1113" s="881"/>
      <c r="C1113" s="881"/>
      <c r="D1113" s="881"/>
      <c r="E1113" s="881"/>
      <c r="R1113" s="882"/>
      <c r="S1113" s="882"/>
      <c r="T1113" s="882"/>
      <c r="U1113" s="882"/>
      <c r="V1113" s="882"/>
      <c r="W1113" s="882"/>
      <c r="X1113" s="882"/>
      <c r="Y1113" s="882"/>
    </row>
    <row r="1114" spans="1:25" x14ac:dyDescent="0.2">
      <c r="A1114" s="881"/>
      <c r="B1114" s="881"/>
      <c r="C1114" s="881"/>
      <c r="D1114" s="881"/>
      <c r="E1114" s="881"/>
      <c r="R1114" s="882"/>
      <c r="S1114" s="882"/>
      <c r="T1114" s="882"/>
      <c r="U1114" s="882"/>
      <c r="V1114" s="882"/>
      <c r="W1114" s="882"/>
      <c r="X1114" s="882"/>
      <c r="Y1114" s="882"/>
    </row>
    <row r="1115" spans="1:25" x14ac:dyDescent="0.2">
      <c r="A1115" s="881"/>
      <c r="B1115" s="881"/>
      <c r="C1115" s="881"/>
      <c r="D1115" s="881"/>
      <c r="E1115" s="881"/>
      <c r="R1115" s="882"/>
      <c r="S1115" s="882"/>
      <c r="T1115" s="882"/>
      <c r="U1115" s="882"/>
      <c r="V1115" s="882"/>
      <c r="W1115" s="882"/>
      <c r="X1115" s="882"/>
      <c r="Y1115" s="882"/>
    </row>
    <row r="1116" spans="1:25" x14ac:dyDescent="0.2">
      <c r="A1116" s="881"/>
      <c r="B1116" s="881"/>
      <c r="C1116" s="881"/>
      <c r="D1116" s="881"/>
      <c r="E1116" s="881"/>
      <c r="R1116" s="882"/>
      <c r="S1116" s="882"/>
      <c r="T1116" s="882"/>
      <c r="U1116" s="882"/>
      <c r="V1116" s="882"/>
      <c r="W1116" s="882"/>
      <c r="X1116" s="882"/>
      <c r="Y1116" s="882"/>
    </row>
    <row r="1117" spans="1:25" x14ac:dyDescent="0.2">
      <c r="A1117" s="881"/>
      <c r="B1117" s="881"/>
      <c r="C1117" s="881"/>
      <c r="D1117" s="881"/>
      <c r="E1117" s="881"/>
      <c r="R1117" s="882"/>
      <c r="S1117" s="882"/>
      <c r="T1117" s="882"/>
      <c r="U1117" s="882"/>
      <c r="V1117" s="882"/>
      <c r="W1117" s="882"/>
      <c r="X1117" s="882"/>
      <c r="Y1117" s="882"/>
    </row>
    <row r="1118" spans="1:25" x14ac:dyDescent="0.2">
      <c r="A1118" s="881"/>
      <c r="B1118" s="881"/>
      <c r="C1118" s="881"/>
      <c r="D1118" s="881"/>
      <c r="E1118" s="881"/>
      <c r="R1118" s="882"/>
      <c r="S1118" s="882"/>
      <c r="T1118" s="882"/>
      <c r="U1118" s="882"/>
      <c r="V1118" s="882"/>
      <c r="W1118" s="882"/>
      <c r="X1118" s="882"/>
      <c r="Y1118" s="882"/>
    </row>
    <row r="1119" spans="1:25" x14ac:dyDescent="0.2">
      <c r="A1119" s="881"/>
      <c r="B1119" s="881"/>
      <c r="C1119" s="881"/>
      <c r="D1119" s="881"/>
      <c r="E1119" s="881"/>
      <c r="R1119" s="882"/>
      <c r="S1119" s="882"/>
      <c r="T1119" s="882"/>
      <c r="U1119" s="882"/>
      <c r="V1119" s="882"/>
      <c r="W1119" s="882"/>
      <c r="X1119" s="882"/>
      <c r="Y1119" s="882"/>
    </row>
    <row r="1120" spans="1:25" x14ac:dyDescent="0.2">
      <c r="A1120" s="881"/>
      <c r="B1120" s="881"/>
      <c r="C1120" s="881"/>
      <c r="D1120" s="881"/>
      <c r="E1120" s="881"/>
      <c r="R1120" s="882"/>
      <c r="S1120" s="882"/>
      <c r="T1120" s="882"/>
      <c r="U1120" s="882"/>
      <c r="V1120" s="882"/>
      <c r="W1120" s="882"/>
      <c r="X1120" s="882"/>
      <c r="Y1120" s="882"/>
    </row>
    <row r="1121" spans="1:25" x14ac:dyDescent="0.2">
      <c r="A1121" s="881"/>
      <c r="B1121" s="881"/>
      <c r="C1121" s="881"/>
      <c r="D1121" s="881"/>
      <c r="E1121" s="881"/>
      <c r="R1121" s="882"/>
      <c r="S1121" s="882"/>
      <c r="T1121" s="882"/>
      <c r="U1121" s="882"/>
      <c r="V1121" s="882"/>
      <c r="W1121" s="882"/>
      <c r="X1121" s="882"/>
      <c r="Y1121" s="882"/>
    </row>
    <row r="1122" spans="1:25" x14ac:dyDescent="0.2">
      <c r="A1122" s="881"/>
      <c r="B1122" s="881"/>
      <c r="C1122" s="881"/>
      <c r="D1122" s="881"/>
      <c r="E1122" s="881"/>
      <c r="R1122" s="882"/>
      <c r="S1122" s="882"/>
      <c r="T1122" s="882"/>
      <c r="U1122" s="882"/>
      <c r="V1122" s="882"/>
      <c r="W1122" s="882"/>
      <c r="X1122" s="882"/>
      <c r="Y1122" s="882"/>
    </row>
    <row r="1123" spans="1:25" x14ac:dyDescent="0.2">
      <c r="A1123" s="881"/>
      <c r="B1123" s="881"/>
      <c r="C1123" s="881"/>
      <c r="D1123" s="881"/>
      <c r="E1123" s="881"/>
      <c r="R1123" s="882"/>
      <c r="S1123" s="882"/>
      <c r="T1123" s="882"/>
      <c r="U1123" s="882"/>
      <c r="V1123" s="882"/>
      <c r="W1123" s="882"/>
      <c r="X1123" s="882"/>
      <c r="Y1123" s="882"/>
    </row>
    <row r="1124" spans="1:25" x14ac:dyDescent="0.2">
      <c r="A1124" s="881"/>
      <c r="B1124" s="881"/>
      <c r="C1124" s="881"/>
      <c r="D1124" s="881"/>
      <c r="E1124" s="881"/>
      <c r="R1124" s="882"/>
      <c r="S1124" s="882"/>
      <c r="T1124" s="882"/>
      <c r="U1124" s="882"/>
      <c r="V1124" s="882"/>
      <c r="W1124" s="882"/>
      <c r="X1124" s="882"/>
      <c r="Y1124" s="882"/>
    </row>
    <row r="1125" spans="1:25" x14ac:dyDescent="0.2">
      <c r="A1125" s="881"/>
      <c r="B1125" s="881"/>
      <c r="C1125" s="881"/>
      <c r="D1125" s="881"/>
      <c r="E1125" s="881"/>
      <c r="R1125" s="882"/>
      <c r="S1125" s="882"/>
      <c r="T1125" s="882"/>
      <c r="U1125" s="882"/>
      <c r="V1125" s="882"/>
      <c r="W1125" s="882"/>
      <c r="X1125" s="882"/>
      <c r="Y1125" s="882"/>
    </row>
    <row r="1126" spans="1:25" x14ac:dyDescent="0.2">
      <c r="A1126" s="881"/>
      <c r="B1126" s="881"/>
      <c r="C1126" s="881"/>
      <c r="D1126" s="881"/>
      <c r="E1126" s="881"/>
      <c r="R1126" s="882"/>
      <c r="S1126" s="882"/>
      <c r="T1126" s="882"/>
      <c r="U1126" s="882"/>
      <c r="V1126" s="882"/>
      <c r="W1126" s="882"/>
      <c r="X1126" s="882"/>
      <c r="Y1126" s="882"/>
    </row>
    <row r="1127" spans="1:25" x14ac:dyDescent="0.2">
      <c r="A1127" s="881"/>
      <c r="B1127" s="881"/>
      <c r="C1127" s="881"/>
      <c r="D1127" s="881"/>
      <c r="E1127" s="881"/>
      <c r="R1127" s="882"/>
      <c r="S1127" s="882"/>
      <c r="T1127" s="882"/>
      <c r="U1127" s="882"/>
      <c r="V1127" s="882"/>
      <c r="W1127" s="882"/>
      <c r="X1127" s="882"/>
      <c r="Y1127" s="882"/>
    </row>
    <row r="1128" spans="1:25" x14ac:dyDescent="0.2">
      <c r="A1128" s="881"/>
      <c r="B1128" s="881"/>
      <c r="C1128" s="881"/>
      <c r="D1128" s="881"/>
      <c r="E1128" s="881"/>
      <c r="R1128" s="882"/>
      <c r="S1128" s="882"/>
      <c r="T1128" s="882"/>
      <c r="U1128" s="882"/>
      <c r="V1128" s="882"/>
      <c r="W1128" s="882"/>
      <c r="X1128" s="882"/>
      <c r="Y1128" s="882"/>
    </row>
    <row r="1129" spans="1:25" x14ac:dyDescent="0.2">
      <c r="A1129" s="881"/>
      <c r="B1129" s="881"/>
      <c r="C1129" s="881"/>
      <c r="D1129" s="881"/>
      <c r="E1129" s="881"/>
      <c r="R1129" s="882"/>
      <c r="S1129" s="882"/>
      <c r="T1129" s="882"/>
      <c r="U1129" s="882"/>
      <c r="V1129" s="882"/>
      <c r="W1129" s="882"/>
      <c r="X1129" s="882"/>
      <c r="Y1129" s="882"/>
    </row>
    <row r="1130" spans="1:25" x14ac:dyDescent="0.2">
      <c r="A1130" s="881"/>
      <c r="B1130" s="881"/>
      <c r="C1130" s="881"/>
      <c r="D1130" s="881"/>
      <c r="E1130" s="881"/>
      <c r="R1130" s="882"/>
      <c r="S1130" s="882"/>
      <c r="T1130" s="882"/>
      <c r="U1130" s="882"/>
      <c r="V1130" s="882"/>
      <c r="W1130" s="882"/>
      <c r="X1130" s="882"/>
      <c r="Y1130" s="882"/>
    </row>
    <row r="1131" spans="1:25" x14ac:dyDescent="0.2">
      <c r="A1131" s="881"/>
      <c r="B1131" s="881"/>
      <c r="C1131" s="881"/>
      <c r="D1131" s="881"/>
      <c r="E1131" s="881"/>
      <c r="R1131" s="882"/>
      <c r="S1131" s="882"/>
      <c r="T1131" s="882"/>
      <c r="U1131" s="882"/>
      <c r="V1131" s="882"/>
      <c r="W1131" s="882"/>
      <c r="X1131" s="882"/>
      <c r="Y1131" s="882"/>
    </row>
    <row r="1132" spans="1:25" x14ac:dyDescent="0.2">
      <c r="A1132" s="881"/>
      <c r="B1132" s="881"/>
      <c r="C1132" s="881"/>
      <c r="D1132" s="881"/>
      <c r="E1132" s="881"/>
      <c r="R1132" s="882"/>
      <c r="S1132" s="882"/>
      <c r="T1132" s="882"/>
      <c r="U1132" s="882"/>
      <c r="V1132" s="882"/>
      <c r="W1132" s="882"/>
      <c r="X1132" s="882"/>
      <c r="Y1132" s="882"/>
    </row>
    <row r="1133" spans="1:25" x14ac:dyDescent="0.2">
      <c r="A1133" s="881"/>
      <c r="B1133" s="881"/>
      <c r="C1133" s="881"/>
      <c r="D1133" s="881"/>
      <c r="E1133" s="881"/>
      <c r="R1133" s="882"/>
      <c r="S1133" s="882"/>
      <c r="T1133" s="882"/>
      <c r="U1133" s="882"/>
      <c r="V1133" s="882"/>
      <c r="W1133" s="882"/>
      <c r="X1133" s="882"/>
      <c r="Y1133" s="882"/>
    </row>
    <row r="1134" spans="1:25" x14ac:dyDescent="0.2">
      <c r="A1134" s="881"/>
      <c r="B1134" s="881"/>
      <c r="C1134" s="881"/>
      <c r="D1134" s="881"/>
      <c r="E1134" s="881"/>
      <c r="R1134" s="882"/>
      <c r="S1134" s="882"/>
      <c r="T1134" s="882"/>
      <c r="U1134" s="882"/>
      <c r="V1134" s="882"/>
      <c r="W1134" s="882"/>
      <c r="X1134" s="882"/>
      <c r="Y1134" s="882"/>
    </row>
    <row r="1135" spans="1:25" x14ac:dyDescent="0.2">
      <c r="A1135" s="881"/>
      <c r="B1135" s="881"/>
      <c r="C1135" s="881"/>
      <c r="D1135" s="881"/>
      <c r="E1135" s="881"/>
      <c r="R1135" s="882"/>
      <c r="S1135" s="882"/>
      <c r="T1135" s="882"/>
      <c r="U1135" s="882"/>
      <c r="V1135" s="882"/>
      <c r="W1135" s="882"/>
      <c r="X1135" s="882"/>
      <c r="Y1135" s="882"/>
    </row>
    <row r="1136" spans="1:25" x14ac:dyDescent="0.2">
      <c r="A1136" s="881"/>
      <c r="B1136" s="881"/>
      <c r="C1136" s="881"/>
      <c r="D1136" s="881"/>
      <c r="E1136" s="881"/>
      <c r="R1136" s="882"/>
      <c r="S1136" s="882"/>
      <c r="T1136" s="882"/>
      <c r="U1136" s="882"/>
      <c r="V1136" s="882"/>
      <c r="W1136" s="882"/>
      <c r="X1136" s="882"/>
      <c r="Y1136" s="882"/>
    </row>
    <row r="1137" spans="1:25" x14ac:dyDescent="0.2">
      <c r="A1137" s="881"/>
      <c r="B1137" s="881"/>
      <c r="C1137" s="881"/>
      <c r="D1137" s="881"/>
      <c r="E1137" s="881"/>
      <c r="R1137" s="882"/>
      <c r="S1137" s="882"/>
      <c r="T1137" s="882"/>
      <c r="U1137" s="882"/>
      <c r="V1137" s="882"/>
      <c r="W1137" s="882"/>
      <c r="X1137" s="882"/>
      <c r="Y1137" s="882"/>
    </row>
    <row r="1138" spans="1:25" x14ac:dyDescent="0.2">
      <c r="A1138" s="881"/>
      <c r="B1138" s="881"/>
      <c r="C1138" s="881"/>
      <c r="D1138" s="881"/>
      <c r="E1138" s="881"/>
      <c r="R1138" s="882"/>
      <c r="S1138" s="882"/>
      <c r="T1138" s="882"/>
      <c r="U1138" s="882"/>
      <c r="V1138" s="882"/>
      <c r="W1138" s="882"/>
      <c r="X1138" s="882"/>
      <c r="Y1138" s="882"/>
    </row>
    <row r="1139" spans="1:25" x14ac:dyDescent="0.2">
      <c r="A1139" s="881"/>
      <c r="B1139" s="881"/>
      <c r="C1139" s="881"/>
      <c r="D1139" s="881"/>
      <c r="E1139" s="881"/>
      <c r="R1139" s="882"/>
      <c r="S1139" s="882"/>
      <c r="T1139" s="882"/>
      <c r="U1139" s="882"/>
      <c r="V1139" s="882"/>
      <c r="W1139" s="882"/>
      <c r="X1139" s="882"/>
      <c r="Y1139" s="882"/>
    </row>
    <row r="1140" spans="1:25" x14ac:dyDescent="0.2">
      <c r="A1140" s="881"/>
      <c r="B1140" s="881"/>
      <c r="C1140" s="881"/>
      <c r="D1140" s="881"/>
      <c r="E1140" s="881"/>
      <c r="R1140" s="882"/>
      <c r="S1140" s="882"/>
      <c r="T1140" s="882"/>
      <c r="U1140" s="882"/>
      <c r="V1140" s="882"/>
      <c r="W1140" s="882"/>
      <c r="X1140" s="882"/>
      <c r="Y1140" s="882"/>
    </row>
    <row r="1141" spans="1:25" x14ac:dyDescent="0.2">
      <c r="A1141" s="881"/>
      <c r="B1141" s="881"/>
      <c r="C1141" s="881"/>
      <c r="D1141" s="881"/>
      <c r="E1141" s="881"/>
      <c r="R1141" s="882"/>
      <c r="S1141" s="882"/>
      <c r="T1141" s="882"/>
      <c r="U1141" s="882"/>
      <c r="V1141" s="882"/>
      <c r="W1141" s="882"/>
      <c r="X1141" s="882"/>
      <c r="Y1141" s="882"/>
    </row>
    <row r="1142" spans="1:25" x14ac:dyDescent="0.2">
      <c r="A1142" s="881"/>
      <c r="B1142" s="881"/>
      <c r="C1142" s="881"/>
      <c r="D1142" s="881"/>
      <c r="E1142" s="881"/>
      <c r="R1142" s="882"/>
      <c r="S1142" s="882"/>
      <c r="T1142" s="882"/>
      <c r="U1142" s="882"/>
      <c r="V1142" s="882"/>
      <c r="W1142" s="882"/>
      <c r="X1142" s="882"/>
      <c r="Y1142" s="882"/>
    </row>
    <row r="1143" spans="1:25" x14ac:dyDescent="0.2">
      <c r="A1143" s="881"/>
      <c r="B1143" s="881"/>
      <c r="C1143" s="881"/>
      <c r="D1143" s="881"/>
      <c r="E1143" s="881"/>
      <c r="R1143" s="882"/>
      <c r="S1143" s="882"/>
      <c r="T1143" s="882"/>
      <c r="U1143" s="882"/>
      <c r="V1143" s="882"/>
      <c r="W1143" s="882"/>
      <c r="X1143" s="882"/>
      <c r="Y1143" s="882"/>
    </row>
    <row r="1144" spans="1:25" x14ac:dyDescent="0.2">
      <c r="A1144" s="881"/>
      <c r="B1144" s="881"/>
      <c r="C1144" s="881"/>
      <c r="D1144" s="881"/>
      <c r="E1144" s="881"/>
      <c r="R1144" s="882"/>
      <c r="S1144" s="882"/>
      <c r="T1144" s="882"/>
      <c r="U1144" s="882"/>
      <c r="V1144" s="882"/>
      <c r="W1144" s="882"/>
      <c r="X1144" s="882"/>
      <c r="Y1144" s="882"/>
    </row>
    <row r="1145" spans="1:25" x14ac:dyDescent="0.2">
      <c r="A1145" s="881"/>
      <c r="B1145" s="881"/>
      <c r="C1145" s="881"/>
      <c r="D1145" s="881"/>
      <c r="E1145" s="881"/>
      <c r="R1145" s="882"/>
      <c r="S1145" s="882"/>
      <c r="T1145" s="882"/>
      <c r="U1145" s="882"/>
      <c r="V1145" s="882"/>
      <c r="W1145" s="882"/>
      <c r="X1145" s="882"/>
      <c r="Y1145" s="882"/>
    </row>
    <row r="1146" spans="1:25" x14ac:dyDescent="0.2">
      <c r="A1146" s="881"/>
      <c r="B1146" s="881"/>
      <c r="C1146" s="881"/>
      <c r="D1146" s="881"/>
      <c r="E1146" s="881"/>
      <c r="R1146" s="882"/>
      <c r="S1146" s="882"/>
      <c r="T1146" s="882"/>
      <c r="U1146" s="882"/>
      <c r="V1146" s="882"/>
      <c r="W1146" s="882"/>
      <c r="X1146" s="882"/>
      <c r="Y1146" s="882"/>
    </row>
    <row r="1147" spans="1:25" x14ac:dyDescent="0.2">
      <c r="A1147" s="881"/>
      <c r="B1147" s="881"/>
      <c r="C1147" s="881"/>
      <c r="D1147" s="881"/>
      <c r="E1147" s="881"/>
      <c r="R1147" s="882"/>
      <c r="S1147" s="882"/>
      <c r="T1147" s="882"/>
      <c r="U1147" s="882"/>
      <c r="V1147" s="882"/>
      <c r="W1147" s="882"/>
      <c r="X1147" s="882"/>
      <c r="Y1147" s="882"/>
    </row>
    <row r="1148" spans="1:25" x14ac:dyDescent="0.2">
      <c r="A1148" s="881"/>
      <c r="B1148" s="881"/>
      <c r="C1148" s="881"/>
      <c r="D1148" s="881"/>
      <c r="E1148" s="881"/>
      <c r="R1148" s="882"/>
      <c r="S1148" s="882"/>
      <c r="T1148" s="882"/>
      <c r="U1148" s="882"/>
      <c r="V1148" s="882"/>
      <c r="W1148" s="882"/>
      <c r="X1148" s="882"/>
      <c r="Y1148" s="882"/>
    </row>
    <row r="1149" spans="1:25" x14ac:dyDescent="0.2">
      <c r="A1149" s="881"/>
      <c r="B1149" s="881"/>
      <c r="C1149" s="881"/>
      <c r="D1149" s="881"/>
      <c r="E1149" s="881"/>
      <c r="R1149" s="882"/>
      <c r="S1149" s="882"/>
      <c r="T1149" s="882"/>
      <c r="U1149" s="882"/>
      <c r="V1149" s="882"/>
      <c r="W1149" s="882"/>
      <c r="X1149" s="882"/>
      <c r="Y1149" s="882"/>
    </row>
    <row r="1150" spans="1:25" x14ac:dyDescent="0.2">
      <c r="A1150" s="881"/>
      <c r="B1150" s="881"/>
      <c r="C1150" s="881"/>
      <c r="D1150" s="881"/>
      <c r="E1150" s="881"/>
      <c r="R1150" s="882"/>
      <c r="S1150" s="882"/>
      <c r="T1150" s="882"/>
      <c r="U1150" s="882"/>
      <c r="V1150" s="882"/>
      <c r="W1150" s="882"/>
      <c r="X1150" s="882"/>
      <c r="Y1150" s="882"/>
    </row>
    <row r="1151" spans="1:25" x14ac:dyDescent="0.2">
      <c r="A1151" s="881"/>
      <c r="B1151" s="881"/>
      <c r="C1151" s="881"/>
      <c r="D1151" s="881"/>
      <c r="E1151" s="881"/>
      <c r="R1151" s="882"/>
      <c r="S1151" s="882"/>
      <c r="T1151" s="882"/>
      <c r="U1151" s="882"/>
      <c r="V1151" s="882"/>
      <c r="W1151" s="882"/>
      <c r="X1151" s="882"/>
      <c r="Y1151" s="882"/>
    </row>
    <row r="1152" spans="1:25" x14ac:dyDescent="0.2">
      <c r="A1152" s="881"/>
      <c r="B1152" s="881"/>
      <c r="C1152" s="881"/>
      <c r="D1152" s="881"/>
      <c r="E1152" s="881"/>
      <c r="R1152" s="882"/>
      <c r="S1152" s="882"/>
      <c r="T1152" s="882"/>
      <c r="U1152" s="882"/>
      <c r="V1152" s="882"/>
      <c r="W1152" s="882"/>
      <c r="X1152" s="882"/>
      <c r="Y1152" s="882"/>
    </row>
    <row r="1153" spans="1:25" x14ac:dyDescent="0.2">
      <c r="A1153" s="881"/>
      <c r="B1153" s="881"/>
      <c r="C1153" s="881"/>
      <c r="D1153" s="881"/>
      <c r="E1153" s="881"/>
      <c r="R1153" s="882"/>
      <c r="S1153" s="882"/>
      <c r="T1153" s="882"/>
      <c r="U1153" s="882"/>
      <c r="V1153" s="882"/>
      <c r="W1153" s="882"/>
      <c r="X1153" s="882"/>
      <c r="Y1153" s="882"/>
    </row>
    <row r="1154" spans="1:25" x14ac:dyDescent="0.2">
      <c r="A1154" s="881"/>
      <c r="B1154" s="881"/>
      <c r="C1154" s="881"/>
      <c r="D1154" s="881"/>
      <c r="E1154" s="881"/>
      <c r="R1154" s="882"/>
      <c r="S1154" s="882"/>
      <c r="T1154" s="882"/>
      <c r="U1154" s="882"/>
      <c r="V1154" s="882"/>
      <c r="W1154" s="882"/>
      <c r="X1154" s="882"/>
      <c r="Y1154" s="882"/>
    </row>
    <row r="1155" spans="1:25" x14ac:dyDescent="0.2">
      <c r="A1155" s="881"/>
      <c r="B1155" s="881"/>
      <c r="C1155" s="881"/>
      <c r="D1155" s="881"/>
      <c r="E1155" s="881"/>
      <c r="R1155" s="882"/>
      <c r="S1155" s="882"/>
      <c r="T1155" s="882"/>
      <c r="U1155" s="882"/>
      <c r="V1155" s="882"/>
      <c r="W1155" s="882"/>
      <c r="X1155" s="882"/>
      <c r="Y1155" s="882"/>
    </row>
    <row r="1156" spans="1:25" x14ac:dyDescent="0.2">
      <c r="A1156" s="881"/>
      <c r="B1156" s="881"/>
      <c r="C1156" s="881"/>
      <c r="D1156" s="881"/>
      <c r="E1156" s="881"/>
      <c r="R1156" s="882"/>
      <c r="S1156" s="882"/>
      <c r="T1156" s="882"/>
      <c r="U1156" s="882"/>
      <c r="V1156" s="882"/>
      <c r="W1156" s="882"/>
      <c r="X1156" s="882"/>
      <c r="Y1156" s="882"/>
    </row>
    <row r="1157" spans="1:25" x14ac:dyDescent="0.2">
      <c r="A1157" s="881"/>
      <c r="B1157" s="881"/>
      <c r="C1157" s="881"/>
      <c r="D1157" s="881"/>
      <c r="E1157" s="881"/>
      <c r="R1157" s="882"/>
      <c r="S1157" s="882"/>
      <c r="T1157" s="882"/>
      <c r="U1157" s="882"/>
      <c r="V1157" s="882"/>
      <c r="W1157" s="882"/>
      <c r="X1157" s="882"/>
      <c r="Y1157" s="882"/>
    </row>
    <row r="1158" spans="1:25" x14ac:dyDescent="0.2">
      <c r="A1158" s="881"/>
      <c r="B1158" s="881"/>
      <c r="C1158" s="881"/>
      <c r="D1158" s="881"/>
      <c r="E1158" s="881"/>
      <c r="R1158" s="882"/>
      <c r="S1158" s="882"/>
      <c r="T1158" s="882"/>
      <c r="U1158" s="882"/>
      <c r="V1158" s="882"/>
      <c r="W1158" s="882"/>
      <c r="X1158" s="882"/>
      <c r="Y1158" s="882"/>
    </row>
    <row r="1159" spans="1:25" x14ac:dyDescent="0.2">
      <c r="A1159" s="881"/>
      <c r="B1159" s="881"/>
      <c r="C1159" s="881"/>
      <c r="D1159" s="881"/>
      <c r="E1159" s="881"/>
      <c r="R1159" s="882"/>
      <c r="S1159" s="882"/>
      <c r="T1159" s="882"/>
      <c r="U1159" s="882"/>
      <c r="V1159" s="882"/>
      <c r="W1159" s="882"/>
      <c r="X1159" s="882"/>
      <c r="Y1159" s="882"/>
    </row>
    <row r="1160" spans="1:25" x14ac:dyDescent="0.2">
      <c r="A1160" s="881"/>
      <c r="B1160" s="881"/>
      <c r="C1160" s="881"/>
      <c r="D1160" s="881"/>
      <c r="E1160" s="881"/>
      <c r="R1160" s="882"/>
      <c r="S1160" s="882"/>
      <c r="T1160" s="882"/>
      <c r="U1160" s="882"/>
      <c r="V1160" s="882"/>
      <c r="W1160" s="882"/>
      <c r="X1160" s="882"/>
      <c r="Y1160" s="882"/>
    </row>
    <row r="1161" spans="1:25" x14ac:dyDescent="0.2">
      <c r="A1161" s="881"/>
      <c r="B1161" s="881"/>
      <c r="C1161" s="881"/>
      <c r="D1161" s="881"/>
      <c r="E1161" s="881"/>
      <c r="R1161" s="882"/>
      <c r="S1161" s="882"/>
      <c r="T1161" s="882"/>
      <c r="U1161" s="882"/>
      <c r="V1161" s="882"/>
      <c r="W1161" s="882"/>
      <c r="X1161" s="882"/>
      <c r="Y1161" s="882"/>
    </row>
    <row r="1162" spans="1:25" x14ac:dyDescent="0.2">
      <c r="A1162" s="881"/>
      <c r="B1162" s="881"/>
      <c r="C1162" s="881"/>
      <c r="D1162" s="881"/>
      <c r="E1162" s="881"/>
      <c r="R1162" s="882"/>
      <c r="S1162" s="882"/>
      <c r="T1162" s="882"/>
      <c r="U1162" s="882"/>
      <c r="V1162" s="882"/>
      <c r="W1162" s="882"/>
      <c r="X1162" s="882"/>
      <c r="Y1162" s="882"/>
    </row>
    <row r="1163" spans="1:25" x14ac:dyDescent="0.2">
      <c r="A1163" s="881"/>
      <c r="B1163" s="881"/>
      <c r="C1163" s="881"/>
      <c r="D1163" s="881"/>
      <c r="E1163" s="881"/>
      <c r="R1163" s="882"/>
      <c r="S1163" s="882"/>
      <c r="T1163" s="882"/>
      <c r="U1163" s="882"/>
      <c r="V1163" s="882"/>
      <c r="W1163" s="882"/>
      <c r="X1163" s="882"/>
      <c r="Y1163" s="882"/>
    </row>
    <row r="1164" spans="1:25" x14ac:dyDescent="0.2">
      <c r="A1164" s="881"/>
      <c r="B1164" s="881"/>
      <c r="C1164" s="881"/>
      <c r="D1164" s="881"/>
      <c r="E1164" s="881"/>
      <c r="R1164" s="882"/>
      <c r="S1164" s="882"/>
      <c r="T1164" s="882"/>
      <c r="U1164" s="882"/>
      <c r="V1164" s="882"/>
      <c r="W1164" s="882"/>
      <c r="X1164" s="882"/>
      <c r="Y1164" s="882"/>
    </row>
    <row r="1165" spans="1:25" x14ac:dyDescent="0.2">
      <c r="A1165" s="881"/>
      <c r="B1165" s="881"/>
      <c r="C1165" s="881"/>
      <c r="D1165" s="881"/>
      <c r="E1165" s="881"/>
      <c r="R1165" s="882"/>
      <c r="S1165" s="882"/>
      <c r="T1165" s="882"/>
      <c r="U1165" s="882"/>
      <c r="V1165" s="882"/>
      <c r="W1165" s="882"/>
      <c r="X1165" s="882"/>
      <c r="Y1165" s="882"/>
    </row>
    <row r="1166" spans="1:25" x14ac:dyDescent="0.2">
      <c r="A1166" s="881"/>
      <c r="B1166" s="881"/>
      <c r="C1166" s="881"/>
      <c r="D1166" s="881"/>
      <c r="E1166" s="881"/>
      <c r="R1166" s="882"/>
      <c r="S1166" s="882"/>
      <c r="T1166" s="882"/>
      <c r="U1166" s="882"/>
      <c r="V1166" s="882"/>
      <c r="W1166" s="882"/>
      <c r="X1166" s="882"/>
      <c r="Y1166" s="882"/>
    </row>
    <row r="1167" spans="1:25" x14ac:dyDescent="0.2">
      <c r="A1167" s="881"/>
      <c r="B1167" s="881"/>
      <c r="C1167" s="881"/>
      <c r="D1167" s="881"/>
      <c r="E1167" s="881"/>
      <c r="R1167" s="882"/>
      <c r="S1167" s="882"/>
      <c r="T1167" s="882"/>
      <c r="U1167" s="882"/>
      <c r="V1167" s="882"/>
      <c r="W1167" s="882"/>
      <c r="X1167" s="882"/>
      <c r="Y1167" s="882"/>
    </row>
    <row r="1168" spans="1:25" x14ac:dyDescent="0.2">
      <c r="A1168" s="881"/>
      <c r="B1168" s="881"/>
      <c r="C1168" s="881"/>
      <c r="D1168" s="881"/>
      <c r="E1168" s="881"/>
      <c r="R1168" s="882"/>
      <c r="S1168" s="882"/>
      <c r="T1168" s="882"/>
      <c r="U1168" s="882"/>
      <c r="V1168" s="882"/>
      <c r="W1168" s="882"/>
      <c r="X1168" s="882"/>
      <c r="Y1168" s="882"/>
    </row>
    <row r="1169" spans="1:25" x14ac:dyDescent="0.2">
      <c r="A1169" s="881"/>
      <c r="B1169" s="881"/>
      <c r="C1169" s="881"/>
      <c r="D1169" s="881"/>
      <c r="E1169" s="881"/>
      <c r="R1169" s="882"/>
      <c r="S1169" s="882"/>
      <c r="T1169" s="882"/>
      <c r="U1169" s="882"/>
      <c r="V1169" s="882"/>
      <c r="W1169" s="882"/>
      <c r="X1169" s="882"/>
      <c r="Y1169" s="882"/>
    </row>
    <row r="1170" spans="1:25" x14ac:dyDescent="0.2">
      <c r="A1170" s="881"/>
      <c r="B1170" s="881"/>
      <c r="C1170" s="881"/>
      <c r="D1170" s="881"/>
      <c r="E1170" s="881"/>
      <c r="R1170" s="882"/>
      <c r="S1170" s="882"/>
      <c r="T1170" s="882"/>
      <c r="U1170" s="882"/>
      <c r="V1170" s="882"/>
      <c r="W1170" s="882"/>
      <c r="X1170" s="882"/>
      <c r="Y1170" s="882"/>
    </row>
    <row r="1171" spans="1:25" x14ac:dyDescent="0.2">
      <c r="A1171" s="881"/>
      <c r="B1171" s="881"/>
      <c r="C1171" s="881"/>
      <c r="D1171" s="881"/>
      <c r="E1171" s="881"/>
      <c r="R1171" s="882"/>
      <c r="S1171" s="882"/>
      <c r="T1171" s="882"/>
      <c r="U1171" s="882"/>
      <c r="V1171" s="882"/>
      <c r="W1171" s="882"/>
      <c r="X1171" s="882"/>
      <c r="Y1171" s="882"/>
    </row>
    <row r="1172" spans="1:25" x14ac:dyDescent="0.2">
      <c r="A1172" s="881"/>
      <c r="B1172" s="881"/>
      <c r="C1172" s="881"/>
      <c r="D1172" s="881"/>
      <c r="E1172" s="881"/>
      <c r="R1172" s="882"/>
      <c r="S1172" s="882"/>
      <c r="T1172" s="882"/>
      <c r="U1172" s="882"/>
      <c r="V1172" s="882"/>
      <c r="W1172" s="882"/>
      <c r="X1172" s="882"/>
      <c r="Y1172" s="882"/>
    </row>
    <row r="1173" spans="1:25" x14ac:dyDescent="0.2">
      <c r="A1173" s="881"/>
      <c r="B1173" s="881"/>
      <c r="C1173" s="881"/>
      <c r="D1173" s="881"/>
      <c r="E1173" s="881"/>
      <c r="R1173" s="882"/>
      <c r="S1173" s="882"/>
      <c r="T1173" s="882"/>
      <c r="U1173" s="882"/>
      <c r="V1173" s="882"/>
      <c r="W1173" s="882"/>
      <c r="X1173" s="882"/>
      <c r="Y1173" s="882"/>
    </row>
    <row r="1174" spans="1:25" x14ac:dyDescent="0.2">
      <c r="A1174" s="881"/>
      <c r="B1174" s="881"/>
      <c r="C1174" s="881"/>
      <c r="D1174" s="881"/>
      <c r="E1174" s="881"/>
      <c r="R1174" s="882"/>
      <c r="S1174" s="882"/>
      <c r="T1174" s="882"/>
      <c r="U1174" s="882"/>
      <c r="V1174" s="882"/>
      <c r="W1174" s="882"/>
      <c r="X1174" s="882"/>
      <c r="Y1174" s="882"/>
    </row>
    <row r="1175" spans="1:25" x14ac:dyDescent="0.2">
      <c r="A1175" s="881"/>
      <c r="B1175" s="881"/>
      <c r="C1175" s="881"/>
      <c r="D1175" s="881"/>
      <c r="E1175" s="881"/>
      <c r="R1175" s="882"/>
      <c r="S1175" s="882"/>
      <c r="T1175" s="882"/>
      <c r="U1175" s="882"/>
      <c r="V1175" s="882"/>
      <c r="W1175" s="882"/>
      <c r="X1175" s="882"/>
      <c r="Y1175" s="882"/>
    </row>
    <row r="1176" spans="1:25" x14ac:dyDescent="0.2">
      <c r="A1176" s="881"/>
      <c r="B1176" s="881"/>
      <c r="C1176" s="881"/>
      <c r="D1176" s="881"/>
      <c r="E1176" s="881"/>
      <c r="R1176" s="882"/>
      <c r="S1176" s="882"/>
      <c r="T1176" s="882"/>
      <c r="U1176" s="882"/>
      <c r="V1176" s="882"/>
      <c r="W1176" s="882"/>
      <c r="X1176" s="882"/>
      <c r="Y1176" s="882"/>
    </row>
    <row r="1177" spans="1:25" x14ac:dyDescent="0.2">
      <c r="A1177" s="881"/>
      <c r="B1177" s="881"/>
      <c r="C1177" s="881"/>
      <c r="D1177" s="881"/>
      <c r="E1177" s="881"/>
      <c r="R1177" s="882"/>
      <c r="S1177" s="882"/>
      <c r="T1177" s="882"/>
      <c r="U1177" s="882"/>
      <c r="V1177" s="882"/>
      <c r="W1177" s="882"/>
      <c r="X1177" s="882"/>
      <c r="Y1177" s="882"/>
    </row>
    <row r="1178" spans="1:25" x14ac:dyDescent="0.2">
      <c r="A1178" s="881"/>
      <c r="B1178" s="881"/>
      <c r="C1178" s="881"/>
      <c r="D1178" s="881"/>
      <c r="E1178" s="881"/>
      <c r="R1178" s="882"/>
      <c r="S1178" s="882"/>
      <c r="T1178" s="882"/>
      <c r="U1178" s="882"/>
      <c r="V1178" s="882"/>
      <c r="W1178" s="882"/>
      <c r="X1178" s="882"/>
      <c r="Y1178" s="882"/>
    </row>
    <row r="1179" spans="1:25" x14ac:dyDescent="0.2">
      <c r="A1179" s="881"/>
      <c r="B1179" s="881"/>
      <c r="C1179" s="881"/>
      <c r="D1179" s="881"/>
      <c r="E1179" s="881"/>
      <c r="R1179" s="882"/>
      <c r="S1179" s="882"/>
      <c r="T1179" s="882"/>
      <c r="U1179" s="882"/>
      <c r="V1179" s="882"/>
      <c r="W1179" s="882"/>
      <c r="X1179" s="882"/>
      <c r="Y1179" s="882"/>
    </row>
    <row r="1180" spans="1:25" x14ac:dyDescent="0.2">
      <c r="A1180" s="881"/>
      <c r="B1180" s="881"/>
      <c r="C1180" s="881"/>
      <c r="D1180" s="881"/>
      <c r="E1180" s="881"/>
      <c r="R1180" s="882"/>
      <c r="S1180" s="882"/>
      <c r="T1180" s="882"/>
      <c r="U1180" s="882"/>
      <c r="V1180" s="882"/>
      <c r="W1180" s="882"/>
      <c r="X1180" s="882"/>
      <c r="Y1180" s="882"/>
    </row>
    <row r="1181" spans="1:25" x14ac:dyDescent="0.2">
      <c r="A1181" s="881"/>
      <c r="B1181" s="881"/>
      <c r="C1181" s="881"/>
      <c r="D1181" s="881"/>
      <c r="E1181" s="881"/>
      <c r="R1181" s="882"/>
      <c r="S1181" s="882"/>
      <c r="T1181" s="882"/>
      <c r="U1181" s="882"/>
      <c r="V1181" s="882"/>
      <c r="W1181" s="882"/>
      <c r="X1181" s="882"/>
      <c r="Y1181" s="882"/>
    </row>
    <row r="1182" spans="1:25" x14ac:dyDescent="0.2">
      <c r="A1182" s="881"/>
      <c r="B1182" s="881"/>
      <c r="C1182" s="881"/>
      <c r="D1182" s="881"/>
      <c r="E1182" s="881"/>
      <c r="R1182" s="882"/>
      <c r="S1182" s="882"/>
      <c r="T1182" s="882"/>
      <c r="U1182" s="882"/>
      <c r="V1182" s="882"/>
      <c r="W1182" s="882"/>
      <c r="X1182" s="882"/>
      <c r="Y1182" s="882"/>
    </row>
    <row r="1183" spans="1:25" x14ac:dyDescent="0.2">
      <c r="A1183" s="881"/>
      <c r="B1183" s="881"/>
      <c r="C1183" s="881"/>
      <c r="D1183" s="881"/>
      <c r="E1183" s="881"/>
      <c r="R1183" s="882"/>
      <c r="S1183" s="882"/>
      <c r="T1183" s="882"/>
      <c r="U1183" s="882"/>
      <c r="V1183" s="882"/>
      <c r="W1183" s="882"/>
      <c r="X1183" s="882"/>
      <c r="Y1183" s="882"/>
    </row>
    <row r="1184" spans="1:25" x14ac:dyDescent="0.2">
      <c r="A1184" s="881"/>
      <c r="B1184" s="881"/>
      <c r="C1184" s="881"/>
      <c r="D1184" s="881"/>
      <c r="E1184" s="881"/>
      <c r="R1184" s="882"/>
      <c r="S1184" s="882"/>
      <c r="T1184" s="882"/>
      <c r="U1184" s="882"/>
      <c r="V1184" s="882"/>
      <c r="W1184" s="882"/>
      <c r="X1184" s="882"/>
      <c r="Y1184" s="882"/>
    </row>
    <row r="1185" spans="1:25" x14ac:dyDescent="0.2">
      <c r="A1185" s="881"/>
      <c r="B1185" s="881"/>
      <c r="C1185" s="881"/>
      <c r="D1185" s="881"/>
      <c r="E1185" s="881"/>
      <c r="R1185" s="882"/>
      <c r="S1185" s="882"/>
      <c r="T1185" s="882"/>
      <c r="U1185" s="882"/>
      <c r="V1185" s="882"/>
      <c r="W1185" s="882"/>
      <c r="X1185" s="882"/>
      <c r="Y1185" s="882"/>
    </row>
    <row r="1186" spans="1:25" x14ac:dyDescent="0.2">
      <c r="A1186" s="881"/>
      <c r="B1186" s="881"/>
      <c r="C1186" s="881"/>
      <c r="D1186" s="881"/>
      <c r="E1186" s="881"/>
      <c r="R1186" s="882"/>
      <c r="S1186" s="882"/>
      <c r="T1186" s="882"/>
      <c r="U1186" s="882"/>
      <c r="V1186" s="882"/>
      <c r="W1186" s="882"/>
      <c r="X1186" s="882"/>
      <c r="Y1186" s="882"/>
    </row>
    <row r="1187" spans="1:25" x14ac:dyDescent="0.2">
      <c r="A1187" s="881"/>
      <c r="B1187" s="881"/>
      <c r="C1187" s="881"/>
      <c r="D1187" s="881"/>
      <c r="E1187" s="881"/>
      <c r="R1187" s="882"/>
      <c r="S1187" s="882"/>
      <c r="T1187" s="882"/>
      <c r="U1187" s="882"/>
      <c r="V1187" s="882"/>
      <c r="W1187" s="882"/>
      <c r="X1187" s="882"/>
      <c r="Y1187" s="882"/>
    </row>
    <row r="1188" spans="1:25" x14ac:dyDescent="0.2">
      <c r="A1188" s="881"/>
      <c r="B1188" s="881"/>
      <c r="C1188" s="881"/>
      <c r="D1188" s="881"/>
      <c r="E1188" s="881"/>
      <c r="R1188" s="882"/>
      <c r="S1188" s="882"/>
      <c r="T1188" s="882"/>
      <c r="U1188" s="882"/>
      <c r="V1188" s="882"/>
      <c r="W1188" s="882"/>
      <c r="X1188" s="882"/>
      <c r="Y1188" s="882"/>
    </row>
    <row r="1189" spans="1:25" x14ac:dyDescent="0.2">
      <c r="A1189" s="881"/>
      <c r="B1189" s="881"/>
      <c r="C1189" s="881"/>
      <c r="D1189" s="881"/>
      <c r="E1189" s="881"/>
      <c r="R1189" s="882"/>
      <c r="S1189" s="882"/>
      <c r="T1189" s="882"/>
      <c r="U1189" s="882"/>
      <c r="V1189" s="882"/>
      <c r="W1189" s="882"/>
      <c r="X1189" s="882"/>
      <c r="Y1189" s="882"/>
    </row>
    <row r="1190" spans="1:25" x14ac:dyDescent="0.2">
      <c r="A1190" s="881"/>
      <c r="B1190" s="881"/>
      <c r="C1190" s="881"/>
      <c r="D1190" s="881"/>
      <c r="E1190" s="881"/>
      <c r="R1190" s="882"/>
      <c r="S1190" s="882"/>
      <c r="T1190" s="882"/>
      <c r="U1190" s="882"/>
      <c r="V1190" s="882"/>
      <c r="W1190" s="882"/>
      <c r="X1190" s="882"/>
      <c r="Y1190" s="882"/>
    </row>
    <row r="1191" spans="1:25" x14ac:dyDescent="0.2">
      <c r="A1191" s="881"/>
      <c r="B1191" s="881"/>
      <c r="C1191" s="881"/>
      <c r="D1191" s="881"/>
      <c r="E1191" s="881"/>
      <c r="R1191" s="882"/>
      <c r="S1191" s="882"/>
      <c r="T1191" s="882"/>
      <c r="U1191" s="882"/>
      <c r="V1191" s="882"/>
      <c r="W1191" s="882"/>
      <c r="X1191" s="882"/>
      <c r="Y1191" s="882"/>
    </row>
    <row r="1192" spans="1:25" x14ac:dyDescent="0.2">
      <c r="A1192" s="881"/>
      <c r="B1192" s="881"/>
      <c r="C1192" s="881"/>
      <c r="D1192" s="881"/>
      <c r="E1192" s="881"/>
      <c r="R1192" s="882"/>
      <c r="S1192" s="882"/>
      <c r="T1192" s="882"/>
      <c r="U1192" s="882"/>
      <c r="V1192" s="882"/>
      <c r="W1192" s="882"/>
      <c r="X1192" s="882"/>
      <c r="Y1192" s="882"/>
    </row>
    <row r="1193" spans="1:25" x14ac:dyDescent="0.2">
      <c r="A1193" s="881"/>
      <c r="B1193" s="881"/>
      <c r="C1193" s="881"/>
      <c r="D1193" s="881"/>
      <c r="E1193" s="881"/>
      <c r="R1193" s="882"/>
      <c r="S1193" s="882"/>
      <c r="T1193" s="882"/>
      <c r="U1193" s="882"/>
      <c r="V1193" s="882"/>
      <c r="W1193" s="882"/>
      <c r="X1193" s="882"/>
      <c r="Y1193" s="882"/>
    </row>
    <row r="1194" spans="1:25" x14ac:dyDescent="0.2">
      <c r="A1194" s="881"/>
      <c r="B1194" s="881"/>
      <c r="C1194" s="881"/>
      <c r="D1194" s="881"/>
      <c r="E1194" s="881"/>
      <c r="R1194" s="882"/>
      <c r="S1194" s="882"/>
      <c r="T1194" s="882"/>
      <c r="U1194" s="882"/>
      <c r="V1194" s="882"/>
      <c r="W1194" s="882"/>
      <c r="X1194" s="882"/>
      <c r="Y1194" s="882"/>
    </row>
    <row r="1195" spans="1:25" x14ac:dyDescent="0.2">
      <c r="A1195" s="881"/>
      <c r="B1195" s="881"/>
      <c r="C1195" s="881"/>
      <c r="D1195" s="881"/>
      <c r="E1195" s="881"/>
      <c r="R1195" s="882"/>
      <c r="S1195" s="882"/>
      <c r="T1195" s="882"/>
      <c r="U1195" s="882"/>
      <c r="V1195" s="882"/>
      <c r="W1195" s="882"/>
      <c r="X1195" s="882"/>
      <c r="Y1195" s="882"/>
    </row>
    <row r="1196" spans="1:25" x14ac:dyDescent="0.2">
      <c r="A1196" s="881"/>
      <c r="B1196" s="881"/>
      <c r="C1196" s="881"/>
      <c r="D1196" s="881"/>
      <c r="E1196" s="881"/>
      <c r="R1196" s="882"/>
      <c r="S1196" s="882"/>
      <c r="T1196" s="882"/>
      <c r="U1196" s="882"/>
      <c r="V1196" s="882"/>
      <c r="W1196" s="882"/>
      <c r="X1196" s="882"/>
      <c r="Y1196" s="882"/>
    </row>
    <row r="1197" spans="1:25" x14ac:dyDescent="0.2">
      <c r="A1197" s="881"/>
      <c r="B1197" s="881"/>
      <c r="C1197" s="881"/>
      <c r="D1197" s="881"/>
      <c r="E1197" s="881"/>
      <c r="R1197" s="882"/>
      <c r="S1197" s="882"/>
      <c r="T1197" s="882"/>
      <c r="U1197" s="882"/>
      <c r="V1197" s="882"/>
      <c r="W1197" s="882"/>
      <c r="X1197" s="882"/>
      <c r="Y1197" s="882"/>
    </row>
    <row r="1198" spans="1:25" x14ac:dyDescent="0.2">
      <c r="A1198" s="881"/>
      <c r="B1198" s="881"/>
      <c r="C1198" s="881"/>
      <c r="D1198" s="881"/>
      <c r="E1198" s="881"/>
      <c r="R1198" s="882"/>
      <c r="S1198" s="882"/>
      <c r="T1198" s="882"/>
      <c r="U1198" s="882"/>
      <c r="V1198" s="882"/>
      <c r="W1198" s="882"/>
      <c r="X1198" s="882"/>
      <c r="Y1198" s="882"/>
    </row>
    <row r="1199" spans="1:25" x14ac:dyDescent="0.2">
      <c r="A1199" s="881"/>
      <c r="B1199" s="881"/>
      <c r="C1199" s="881"/>
      <c r="D1199" s="881"/>
      <c r="E1199" s="881"/>
      <c r="R1199" s="882"/>
      <c r="S1199" s="882"/>
      <c r="T1199" s="882"/>
      <c r="U1199" s="882"/>
      <c r="V1199" s="882"/>
      <c r="W1199" s="882"/>
      <c r="X1199" s="882"/>
      <c r="Y1199" s="882"/>
    </row>
    <row r="1200" spans="1:25" x14ac:dyDescent="0.2">
      <c r="A1200" s="881"/>
      <c r="B1200" s="881"/>
      <c r="C1200" s="881"/>
      <c r="D1200" s="881"/>
      <c r="E1200" s="881"/>
      <c r="R1200" s="882"/>
      <c r="S1200" s="882"/>
      <c r="T1200" s="882"/>
      <c r="U1200" s="882"/>
      <c r="V1200" s="882"/>
      <c r="W1200" s="882"/>
      <c r="X1200" s="882"/>
      <c r="Y1200" s="882"/>
    </row>
    <row r="1201" spans="1:25" x14ac:dyDescent="0.2">
      <c r="A1201" s="881"/>
      <c r="B1201" s="881"/>
      <c r="C1201" s="881"/>
      <c r="D1201" s="881"/>
      <c r="E1201" s="881"/>
      <c r="R1201" s="882"/>
      <c r="S1201" s="882"/>
      <c r="T1201" s="882"/>
      <c r="U1201" s="882"/>
      <c r="V1201" s="882"/>
      <c r="W1201" s="882"/>
      <c r="X1201" s="882"/>
      <c r="Y1201" s="882"/>
    </row>
    <row r="1202" spans="1:25" x14ac:dyDescent="0.2">
      <c r="A1202" s="881"/>
      <c r="B1202" s="881"/>
      <c r="C1202" s="881"/>
      <c r="D1202" s="881"/>
      <c r="E1202" s="881"/>
      <c r="R1202" s="882"/>
      <c r="S1202" s="882"/>
      <c r="T1202" s="882"/>
      <c r="U1202" s="882"/>
      <c r="V1202" s="882"/>
      <c r="W1202" s="882"/>
      <c r="X1202" s="882"/>
      <c r="Y1202" s="882"/>
    </row>
    <row r="1203" spans="1:25" x14ac:dyDescent="0.2">
      <c r="A1203" s="881"/>
      <c r="B1203" s="881"/>
      <c r="C1203" s="881"/>
      <c r="D1203" s="881"/>
      <c r="E1203" s="881"/>
      <c r="R1203" s="882"/>
      <c r="S1203" s="882"/>
      <c r="T1203" s="882"/>
      <c r="U1203" s="882"/>
      <c r="V1203" s="882"/>
      <c r="W1203" s="882"/>
      <c r="X1203" s="882"/>
      <c r="Y1203" s="882"/>
    </row>
    <row r="1204" spans="1:25" x14ac:dyDescent="0.2">
      <c r="A1204" s="881"/>
      <c r="B1204" s="881"/>
      <c r="C1204" s="881"/>
      <c r="D1204" s="881"/>
      <c r="E1204" s="881"/>
      <c r="R1204" s="882"/>
      <c r="S1204" s="882"/>
      <c r="T1204" s="882"/>
      <c r="U1204" s="882"/>
      <c r="V1204" s="882"/>
      <c r="W1204" s="882"/>
      <c r="X1204" s="882"/>
      <c r="Y1204" s="882"/>
    </row>
    <row r="1205" spans="1:25" x14ac:dyDescent="0.2">
      <c r="A1205" s="881"/>
      <c r="B1205" s="881"/>
      <c r="C1205" s="881"/>
      <c r="D1205" s="881"/>
      <c r="E1205" s="881"/>
      <c r="R1205" s="882"/>
      <c r="S1205" s="882"/>
      <c r="T1205" s="882"/>
      <c r="U1205" s="882"/>
      <c r="V1205" s="882"/>
      <c r="W1205" s="882"/>
      <c r="X1205" s="882"/>
      <c r="Y1205" s="882"/>
    </row>
    <row r="1206" spans="1:25" x14ac:dyDescent="0.2">
      <c r="A1206" s="881"/>
      <c r="B1206" s="881"/>
      <c r="C1206" s="881"/>
      <c r="D1206" s="881"/>
      <c r="E1206" s="881"/>
      <c r="R1206" s="882"/>
      <c r="S1206" s="882"/>
      <c r="T1206" s="882"/>
      <c r="U1206" s="882"/>
      <c r="V1206" s="882"/>
      <c r="W1206" s="882"/>
      <c r="X1206" s="882"/>
      <c r="Y1206" s="882"/>
    </row>
    <row r="1207" spans="1:25" x14ac:dyDescent="0.2">
      <c r="A1207" s="881"/>
      <c r="B1207" s="881"/>
      <c r="C1207" s="881"/>
      <c r="D1207" s="881"/>
      <c r="E1207" s="881"/>
      <c r="R1207" s="882"/>
      <c r="S1207" s="882"/>
      <c r="T1207" s="882"/>
      <c r="U1207" s="882"/>
      <c r="V1207" s="882"/>
      <c r="W1207" s="882"/>
      <c r="X1207" s="882"/>
      <c r="Y1207" s="882"/>
    </row>
    <row r="1208" spans="1:25" x14ac:dyDescent="0.2">
      <c r="A1208" s="881"/>
      <c r="B1208" s="881"/>
      <c r="C1208" s="881"/>
      <c r="D1208" s="881"/>
      <c r="E1208" s="881"/>
      <c r="R1208" s="882"/>
      <c r="S1208" s="882"/>
      <c r="T1208" s="882"/>
      <c r="U1208" s="882"/>
      <c r="V1208" s="882"/>
      <c r="W1208" s="882"/>
      <c r="X1208" s="882"/>
      <c r="Y1208" s="882"/>
    </row>
    <row r="1209" spans="1:25" x14ac:dyDescent="0.2">
      <c r="A1209" s="881"/>
      <c r="B1209" s="881"/>
      <c r="C1209" s="881"/>
      <c r="D1209" s="881"/>
      <c r="E1209" s="881"/>
      <c r="R1209" s="882"/>
      <c r="S1209" s="882"/>
      <c r="T1209" s="882"/>
      <c r="U1209" s="882"/>
      <c r="V1209" s="882"/>
      <c r="W1209" s="882"/>
      <c r="X1209" s="882"/>
      <c r="Y1209" s="882"/>
    </row>
    <row r="1210" spans="1:25" x14ac:dyDescent="0.2">
      <c r="A1210" s="881"/>
      <c r="B1210" s="881"/>
      <c r="C1210" s="881"/>
      <c r="D1210" s="881"/>
      <c r="E1210" s="881"/>
      <c r="R1210" s="882"/>
      <c r="S1210" s="882"/>
      <c r="T1210" s="882"/>
      <c r="U1210" s="882"/>
      <c r="V1210" s="882"/>
      <c r="W1210" s="882"/>
      <c r="X1210" s="882"/>
      <c r="Y1210" s="882"/>
    </row>
    <row r="1211" spans="1:25" x14ac:dyDescent="0.2">
      <c r="A1211" s="881"/>
      <c r="B1211" s="881"/>
      <c r="C1211" s="881"/>
      <c r="D1211" s="881"/>
      <c r="E1211" s="881"/>
      <c r="R1211" s="882"/>
      <c r="S1211" s="882"/>
      <c r="T1211" s="882"/>
      <c r="U1211" s="882"/>
      <c r="V1211" s="882"/>
      <c r="W1211" s="882"/>
      <c r="X1211" s="882"/>
      <c r="Y1211" s="882"/>
    </row>
    <row r="1212" spans="1:25" x14ac:dyDescent="0.2">
      <c r="A1212" s="881"/>
      <c r="B1212" s="881"/>
      <c r="C1212" s="881"/>
      <c r="D1212" s="881"/>
      <c r="E1212" s="881"/>
      <c r="R1212" s="882"/>
      <c r="S1212" s="882"/>
      <c r="T1212" s="882"/>
      <c r="U1212" s="882"/>
      <c r="V1212" s="882"/>
      <c r="W1212" s="882"/>
      <c r="X1212" s="882"/>
      <c r="Y1212" s="882"/>
    </row>
    <row r="1213" spans="1:25" x14ac:dyDescent="0.2">
      <c r="A1213" s="881"/>
      <c r="B1213" s="881"/>
      <c r="C1213" s="881"/>
      <c r="D1213" s="881"/>
      <c r="E1213" s="881"/>
      <c r="R1213" s="882"/>
      <c r="S1213" s="882"/>
      <c r="T1213" s="882"/>
      <c r="U1213" s="882"/>
      <c r="V1213" s="882"/>
      <c r="W1213" s="882"/>
      <c r="X1213" s="882"/>
      <c r="Y1213" s="882"/>
    </row>
    <row r="1214" spans="1:25" x14ac:dyDescent="0.2">
      <c r="A1214" s="881"/>
      <c r="B1214" s="881"/>
      <c r="C1214" s="881"/>
      <c r="D1214" s="881"/>
      <c r="E1214" s="881"/>
      <c r="R1214" s="882"/>
      <c r="S1214" s="882"/>
      <c r="T1214" s="882"/>
      <c r="U1214" s="882"/>
      <c r="V1214" s="882"/>
      <c r="W1214" s="882"/>
      <c r="X1214" s="882"/>
      <c r="Y1214" s="882"/>
    </row>
    <row r="1215" spans="1:25" x14ac:dyDescent="0.2">
      <c r="A1215" s="881"/>
      <c r="B1215" s="881"/>
      <c r="C1215" s="881"/>
      <c r="D1215" s="881"/>
      <c r="E1215" s="881"/>
      <c r="R1215" s="882"/>
      <c r="S1215" s="882"/>
      <c r="T1215" s="882"/>
      <c r="U1215" s="882"/>
      <c r="V1215" s="882"/>
      <c r="W1215" s="882"/>
      <c r="X1215" s="882"/>
      <c r="Y1215" s="882"/>
    </row>
    <row r="1216" spans="1:25" x14ac:dyDescent="0.2">
      <c r="A1216" s="881"/>
      <c r="B1216" s="881"/>
      <c r="C1216" s="881"/>
      <c r="D1216" s="881"/>
      <c r="E1216" s="881"/>
      <c r="R1216" s="882"/>
      <c r="S1216" s="882"/>
      <c r="T1216" s="882"/>
      <c r="U1216" s="882"/>
      <c r="V1216" s="882"/>
      <c r="W1216" s="882"/>
      <c r="X1216" s="882"/>
      <c r="Y1216" s="882"/>
    </row>
    <row r="1217" spans="1:25" x14ac:dyDescent="0.2">
      <c r="A1217" s="881"/>
      <c r="B1217" s="881"/>
      <c r="C1217" s="881"/>
      <c r="D1217" s="881"/>
      <c r="E1217" s="881"/>
      <c r="R1217" s="882"/>
      <c r="S1217" s="882"/>
      <c r="T1217" s="882"/>
      <c r="U1217" s="882"/>
      <c r="V1217" s="882"/>
      <c r="W1217" s="882"/>
      <c r="X1217" s="882"/>
      <c r="Y1217" s="882"/>
    </row>
    <row r="1218" spans="1:25" x14ac:dyDescent="0.2">
      <c r="A1218" s="881"/>
      <c r="B1218" s="881"/>
      <c r="C1218" s="881"/>
      <c r="D1218" s="881"/>
      <c r="E1218" s="881"/>
      <c r="R1218" s="882"/>
      <c r="S1218" s="882"/>
      <c r="T1218" s="882"/>
      <c r="U1218" s="882"/>
      <c r="V1218" s="882"/>
      <c r="W1218" s="882"/>
      <c r="X1218" s="882"/>
      <c r="Y1218" s="882"/>
    </row>
    <row r="1219" spans="1:25" x14ac:dyDescent="0.2">
      <c r="A1219" s="881"/>
      <c r="B1219" s="881"/>
      <c r="C1219" s="881"/>
      <c r="D1219" s="881"/>
      <c r="E1219" s="881"/>
      <c r="R1219" s="882"/>
      <c r="S1219" s="882"/>
      <c r="T1219" s="882"/>
      <c r="U1219" s="882"/>
      <c r="V1219" s="882"/>
      <c r="W1219" s="882"/>
      <c r="X1219" s="882"/>
      <c r="Y1219" s="882"/>
    </row>
    <row r="1220" spans="1:25" x14ac:dyDescent="0.2">
      <c r="A1220" s="881"/>
      <c r="B1220" s="881"/>
      <c r="C1220" s="881"/>
      <c r="D1220" s="881"/>
      <c r="E1220" s="881"/>
      <c r="R1220" s="882"/>
      <c r="S1220" s="882"/>
      <c r="T1220" s="882"/>
      <c r="U1220" s="882"/>
      <c r="V1220" s="882"/>
      <c r="W1220" s="882"/>
      <c r="X1220" s="882"/>
      <c r="Y1220" s="882"/>
    </row>
    <row r="1221" spans="1:25" x14ac:dyDescent="0.2">
      <c r="A1221" s="881"/>
      <c r="B1221" s="881"/>
      <c r="C1221" s="881"/>
      <c r="D1221" s="881"/>
      <c r="E1221" s="881"/>
      <c r="R1221" s="882"/>
      <c r="S1221" s="882"/>
      <c r="T1221" s="882"/>
      <c r="U1221" s="882"/>
      <c r="V1221" s="882"/>
      <c r="W1221" s="882"/>
      <c r="X1221" s="882"/>
      <c r="Y1221" s="882"/>
    </row>
    <row r="1222" spans="1:25" x14ac:dyDescent="0.2">
      <c r="A1222" s="881"/>
      <c r="B1222" s="881"/>
      <c r="C1222" s="881"/>
      <c r="D1222" s="881"/>
      <c r="E1222" s="881"/>
      <c r="R1222" s="882"/>
      <c r="S1222" s="882"/>
      <c r="T1222" s="882"/>
      <c r="U1222" s="882"/>
      <c r="V1222" s="882"/>
      <c r="W1222" s="882"/>
      <c r="X1222" s="882"/>
      <c r="Y1222" s="882"/>
    </row>
    <row r="1223" spans="1:25" x14ac:dyDescent="0.2">
      <c r="A1223" s="881"/>
      <c r="B1223" s="881"/>
      <c r="C1223" s="881"/>
      <c r="D1223" s="881"/>
      <c r="E1223" s="881"/>
      <c r="R1223" s="882"/>
      <c r="S1223" s="882"/>
      <c r="T1223" s="882"/>
      <c r="U1223" s="882"/>
      <c r="V1223" s="882"/>
      <c r="W1223" s="882"/>
      <c r="X1223" s="882"/>
      <c r="Y1223" s="882"/>
    </row>
    <row r="1224" spans="1:25" x14ac:dyDescent="0.2">
      <c r="A1224" s="881"/>
      <c r="B1224" s="881"/>
      <c r="C1224" s="881"/>
      <c r="D1224" s="881"/>
      <c r="E1224" s="881"/>
      <c r="R1224" s="882"/>
      <c r="S1224" s="882"/>
      <c r="T1224" s="882"/>
      <c r="U1224" s="882"/>
      <c r="V1224" s="882"/>
      <c r="W1224" s="882"/>
      <c r="X1224" s="882"/>
      <c r="Y1224" s="882"/>
    </row>
    <row r="1225" spans="1:25" x14ac:dyDescent="0.2">
      <c r="A1225" s="881"/>
      <c r="B1225" s="881"/>
      <c r="C1225" s="881"/>
      <c r="D1225" s="881"/>
      <c r="E1225" s="881"/>
      <c r="R1225" s="882"/>
      <c r="S1225" s="882"/>
      <c r="T1225" s="882"/>
      <c r="U1225" s="882"/>
      <c r="V1225" s="882"/>
      <c r="W1225" s="882"/>
      <c r="X1225" s="882"/>
      <c r="Y1225" s="882"/>
    </row>
    <row r="1226" spans="1:25" x14ac:dyDescent="0.2">
      <c r="A1226" s="881"/>
      <c r="B1226" s="881"/>
      <c r="C1226" s="881"/>
      <c r="D1226" s="881"/>
      <c r="E1226" s="881"/>
      <c r="R1226" s="882"/>
      <c r="S1226" s="882"/>
      <c r="T1226" s="882"/>
      <c r="U1226" s="882"/>
      <c r="V1226" s="882"/>
      <c r="W1226" s="882"/>
      <c r="X1226" s="882"/>
      <c r="Y1226" s="882"/>
    </row>
    <row r="1227" spans="1:25" x14ac:dyDescent="0.2">
      <c r="A1227" s="881"/>
      <c r="B1227" s="881"/>
      <c r="C1227" s="881"/>
      <c r="D1227" s="881"/>
      <c r="E1227" s="881"/>
      <c r="R1227" s="882"/>
      <c r="S1227" s="882"/>
      <c r="T1227" s="882"/>
      <c r="U1227" s="882"/>
      <c r="V1227" s="882"/>
      <c r="W1227" s="882"/>
      <c r="X1227" s="882"/>
      <c r="Y1227" s="882"/>
    </row>
    <row r="1228" spans="1:25" x14ac:dyDescent="0.2">
      <c r="A1228" s="881"/>
      <c r="B1228" s="881"/>
      <c r="C1228" s="881"/>
      <c r="D1228" s="881"/>
      <c r="E1228" s="881"/>
      <c r="R1228" s="882"/>
      <c r="S1228" s="882"/>
      <c r="T1228" s="882"/>
      <c r="U1228" s="882"/>
      <c r="V1228" s="882"/>
      <c r="W1228" s="882"/>
      <c r="X1228" s="882"/>
      <c r="Y1228" s="882"/>
    </row>
    <row r="1229" spans="1:25" x14ac:dyDescent="0.2">
      <c r="A1229" s="881"/>
      <c r="B1229" s="881"/>
      <c r="C1229" s="881"/>
      <c r="D1229" s="881"/>
      <c r="E1229" s="881"/>
      <c r="R1229" s="882"/>
      <c r="S1229" s="882"/>
      <c r="T1229" s="882"/>
      <c r="U1229" s="882"/>
      <c r="V1229" s="882"/>
      <c r="W1229" s="882"/>
      <c r="X1229" s="882"/>
      <c r="Y1229" s="882"/>
    </row>
    <row r="1230" spans="1:25" x14ac:dyDescent="0.2">
      <c r="A1230" s="881"/>
      <c r="B1230" s="881"/>
      <c r="C1230" s="881"/>
      <c r="D1230" s="881"/>
      <c r="E1230" s="881"/>
      <c r="R1230" s="882"/>
      <c r="S1230" s="882"/>
      <c r="T1230" s="882"/>
      <c r="U1230" s="882"/>
      <c r="V1230" s="882"/>
      <c r="W1230" s="882"/>
      <c r="X1230" s="882"/>
      <c r="Y1230" s="882"/>
    </row>
    <row r="1231" spans="1:25" x14ac:dyDescent="0.2">
      <c r="A1231" s="881"/>
      <c r="B1231" s="881"/>
      <c r="C1231" s="881"/>
      <c r="D1231" s="881"/>
      <c r="E1231" s="881"/>
      <c r="R1231" s="882"/>
      <c r="S1231" s="882"/>
      <c r="T1231" s="882"/>
      <c r="U1231" s="882"/>
      <c r="V1231" s="882"/>
      <c r="W1231" s="882"/>
      <c r="X1231" s="882"/>
      <c r="Y1231" s="882"/>
    </row>
    <row r="1232" spans="1:25" x14ac:dyDescent="0.2">
      <c r="A1232" s="881"/>
      <c r="B1232" s="881"/>
      <c r="C1232" s="881"/>
      <c r="D1232" s="881"/>
      <c r="E1232" s="881"/>
      <c r="R1232" s="882"/>
      <c r="S1232" s="882"/>
      <c r="T1232" s="882"/>
      <c r="U1232" s="882"/>
      <c r="V1232" s="882"/>
      <c r="W1232" s="882"/>
      <c r="X1232" s="882"/>
      <c r="Y1232" s="882"/>
    </row>
    <row r="1233" spans="1:25" x14ac:dyDescent="0.2">
      <c r="A1233" s="881"/>
      <c r="B1233" s="881"/>
      <c r="C1233" s="881"/>
      <c r="D1233" s="881"/>
      <c r="E1233" s="881"/>
      <c r="R1233" s="882"/>
      <c r="S1233" s="882"/>
      <c r="T1233" s="882"/>
      <c r="U1233" s="882"/>
      <c r="V1233" s="882"/>
      <c r="W1233" s="882"/>
      <c r="X1233" s="882"/>
      <c r="Y1233" s="882"/>
    </row>
    <row r="1234" spans="1:25" x14ac:dyDescent="0.2">
      <c r="A1234" s="881"/>
      <c r="B1234" s="881"/>
      <c r="C1234" s="881"/>
      <c r="D1234" s="881"/>
      <c r="E1234" s="881"/>
      <c r="R1234" s="882"/>
      <c r="S1234" s="882"/>
      <c r="T1234" s="882"/>
      <c r="U1234" s="882"/>
      <c r="V1234" s="882"/>
      <c r="W1234" s="882"/>
      <c r="X1234" s="882"/>
      <c r="Y1234" s="882"/>
    </row>
    <row r="1235" spans="1:25" x14ac:dyDescent="0.2">
      <c r="A1235" s="881"/>
      <c r="B1235" s="881"/>
      <c r="C1235" s="881"/>
      <c r="D1235" s="881"/>
      <c r="E1235" s="881"/>
      <c r="R1235" s="882"/>
      <c r="S1235" s="882"/>
      <c r="T1235" s="882"/>
      <c r="U1235" s="882"/>
      <c r="V1235" s="882"/>
      <c r="W1235" s="882"/>
      <c r="X1235" s="882"/>
      <c r="Y1235" s="882"/>
    </row>
    <row r="1236" spans="1:25" x14ac:dyDescent="0.2">
      <c r="A1236" s="881"/>
      <c r="B1236" s="881"/>
      <c r="C1236" s="881"/>
      <c r="D1236" s="881"/>
      <c r="E1236" s="881"/>
      <c r="R1236" s="882"/>
      <c r="S1236" s="882"/>
      <c r="T1236" s="882"/>
      <c r="U1236" s="882"/>
      <c r="V1236" s="882"/>
      <c r="W1236" s="882"/>
      <c r="X1236" s="882"/>
      <c r="Y1236" s="882"/>
    </row>
    <row r="1237" spans="1:25" x14ac:dyDescent="0.2">
      <c r="A1237" s="881"/>
      <c r="B1237" s="881"/>
      <c r="C1237" s="881"/>
      <c r="D1237" s="881"/>
      <c r="E1237" s="881"/>
      <c r="R1237" s="882"/>
      <c r="S1237" s="882"/>
      <c r="T1237" s="882"/>
      <c r="U1237" s="882"/>
      <c r="V1237" s="882"/>
      <c r="W1237" s="882"/>
      <c r="X1237" s="882"/>
      <c r="Y1237" s="882"/>
    </row>
    <row r="1238" spans="1:25" x14ac:dyDescent="0.2">
      <c r="A1238" s="881"/>
      <c r="B1238" s="881"/>
      <c r="C1238" s="881"/>
      <c r="D1238" s="881"/>
      <c r="E1238" s="881"/>
      <c r="R1238" s="882"/>
      <c r="S1238" s="882"/>
      <c r="T1238" s="882"/>
      <c r="U1238" s="882"/>
      <c r="V1238" s="882"/>
      <c r="W1238" s="882"/>
      <c r="X1238" s="882"/>
      <c r="Y1238" s="882"/>
    </row>
    <row r="1239" spans="1:25" x14ac:dyDescent="0.2">
      <c r="A1239" s="881"/>
      <c r="B1239" s="881"/>
      <c r="C1239" s="881"/>
      <c r="D1239" s="881"/>
      <c r="E1239" s="881"/>
      <c r="R1239" s="882"/>
      <c r="S1239" s="882"/>
      <c r="T1239" s="882"/>
      <c r="U1239" s="882"/>
      <c r="V1239" s="882"/>
      <c r="W1239" s="882"/>
      <c r="X1239" s="882"/>
      <c r="Y1239" s="882"/>
    </row>
    <row r="1240" spans="1:25" x14ac:dyDescent="0.2">
      <c r="A1240" s="881"/>
      <c r="B1240" s="881"/>
      <c r="C1240" s="881"/>
      <c r="D1240" s="881"/>
      <c r="E1240" s="881"/>
      <c r="R1240" s="882"/>
      <c r="S1240" s="882"/>
      <c r="T1240" s="882"/>
      <c r="U1240" s="882"/>
      <c r="V1240" s="882"/>
      <c r="W1240" s="882"/>
      <c r="X1240" s="882"/>
      <c r="Y1240" s="882"/>
    </row>
    <row r="1241" spans="1:25" x14ac:dyDescent="0.2">
      <c r="A1241" s="881"/>
      <c r="B1241" s="881"/>
      <c r="C1241" s="881"/>
      <c r="D1241" s="881"/>
      <c r="E1241" s="881"/>
      <c r="R1241" s="882"/>
      <c r="S1241" s="882"/>
      <c r="T1241" s="882"/>
      <c r="U1241" s="882"/>
      <c r="V1241" s="882"/>
      <c r="W1241" s="882"/>
      <c r="X1241" s="882"/>
      <c r="Y1241" s="882"/>
    </row>
    <row r="1242" spans="1:25" x14ac:dyDescent="0.2">
      <c r="A1242" s="881"/>
      <c r="B1242" s="881"/>
      <c r="C1242" s="881"/>
      <c r="D1242" s="881"/>
      <c r="E1242" s="881"/>
      <c r="R1242" s="882"/>
      <c r="S1242" s="882"/>
      <c r="T1242" s="882"/>
      <c r="U1242" s="882"/>
      <c r="V1242" s="882"/>
      <c r="W1242" s="882"/>
      <c r="X1242" s="882"/>
      <c r="Y1242" s="882"/>
    </row>
    <row r="1243" spans="1:25" x14ac:dyDescent="0.2">
      <c r="A1243" s="881"/>
      <c r="B1243" s="881"/>
      <c r="C1243" s="881"/>
      <c r="D1243" s="881"/>
      <c r="E1243" s="881"/>
      <c r="R1243" s="882"/>
      <c r="S1243" s="882"/>
      <c r="T1243" s="882"/>
      <c r="U1243" s="882"/>
      <c r="V1243" s="882"/>
      <c r="W1243" s="882"/>
      <c r="X1243" s="882"/>
      <c r="Y1243" s="882"/>
    </row>
    <row r="1244" spans="1:25" x14ac:dyDescent="0.2">
      <c r="A1244" s="881"/>
      <c r="B1244" s="881"/>
      <c r="C1244" s="881"/>
      <c r="D1244" s="881"/>
      <c r="E1244" s="881"/>
      <c r="R1244" s="882"/>
      <c r="S1244" s="882"/>
      <c r="T1244" s="882"/>
      <c r="U1244" s="882"/>
      <c r="V1244" s="882"/>
      <c r="W1244" s="882"/>
      <c r="X1244" s="882"/>
      <c r="Y1244" s="882"/>
    </row>
    <row r="1245" spans="1:25" x14ac:dyDescent="0.2">
      <c r="A1245" s="881"/>
      <c r="B1245" s="881"/>
      <c r="C1245" s="881"/>
      <c r="D1245" s="881"/>
      <c r="E1245" s="881"/>
      <c r="R1245" s="882"/>
      <c r="S1245" s="882"/>
      <c r="T1245" s="882"/>
      <c r="U1245" s="882"/>
      <c r="V1245" s="882"/>
      <c r="W1245" s="882"/>
      <c r="X1245" s="882"/>
      <c r="Y1245" s="882"/>
    </row>
    <row r="1246" spans="1:25" x14ac:dyDescent="0.2">
      <c r="A1246" s="881"/>
      <c r="B1246" s="881"/>
      <c r="C1246" s="881"/>
      <c r="D1246" s="881"/>
      <c r="E1246" s="881"/>
      <c r="R1246" s="882"/>
      <c r="S1246" s="882"/>
      <c r="T1246" s="882"/>
      <c r="U1246" s="882"/>
      <c r="V1246" s="882"/>
      <c r="W1246" s="882"/>
      <c r="X1246" s="882"/>
      <c r="Y1246" s="882"/>
    </row>
    <row r="1247" spans="1:25" x14ac:dyDescent="0.2">
      <c r="A1247" s="881"/>
      <c r="B1247" s="881"/>
      <c r="C1247" s="881"/>
      <c r="D1247" s="881"/>
      <c r="E1247" s="881"/>
      <c r="R1247" s="882"/>
      <c r="S1247" s="882"/>
      <c r="T1247" s="882"/>
      <c r="U1247" s="882"/>
      <c r="V1247" s="882"/>
      <c r="W1247" s="882"/>
      <c r="X1247" s="882"/>
      <c r="Y1247" s="882"/>
    </row>
    <row r="1248" spans="1:25" x14ac:dyDescent="0.2">
      <c r="A1248" s="881"/>
      <c r="B1248" s="881"/>
      <c r="C1248" s="881"/>
      <c r="D1248" s="881"/>
      <c r="E1248" s="881"/>
      <c r="R1248" s="882"/>
      <c r="S1248" s="882"/>
      <c r="T1248" s="882"/>
      <c r="U1248" s="882"/>
      <c r="V1248" s="882"/>
      <c r="W1248" s="882"/>
      <c r="X1248" s="882"/>
      <c r="Y1248" s="882"/>
    </row>
    <row r="1249" spans="1:25" x14ac:dyDescent="0.2">
      <c r="A1249" s="881"/>
      <c r="B1249" s="881"/>
      <c r="C1249" s="881"/>
      <c r="D1249" s="881"/>
      <c r="E1249" s="881"/>
      <c r="R1249" s="882"/>
      <c r="S1249" s="882"/>
      <c r="T1249" s="882"/>
      <c r="U1249" s="882"/>
      <c r="V1249" s="882"/>
      <c r="W1249" s="882"/>
      <c r="X1249" s="882"/>
      <c r="Y1249" s="882"/>
    </row>
    <row r="1250" spans="1:25" x14ac:dyDescent="0.2">
      <c r="A1250" s="881"/>
      <c r="B1250" s="881"/>
      <c r="C1250" s="881"/>
      <c r="D1250" s="881"/>
      <c r="E1250" s="881"/>
      <c r="R1250" s="882"/>
      <c r="S1250" s="882"/>
      <c r="T1250" s="882"/>
      <c r="U1250" s="882"/>
      <c r="V1250" s="882"/>
      <c r="W1250" s="882"/>
      <c r="X1250" s="882"/>
      <c r="Y1250" s="882"/>
    </row>
    <row r="1251" spans="1:25" x14ac:dyDescent="0.2">
      <c r="A1251" s="881"/>
      <c r="B1251" s="881"/>
      <c r="C1251" s="881"/>
      <c r="D1251" s="881"/>
      <c r="E1251" s="881"/>
      <c r="R1251" s="882"/>
      <c r="S1251" s="882"/>
      <c r="T1251" s="882"/>
      <c r="U1251" s="882"/>
      <c r="V1251" s="882"/>
      <c r="W1251" s="882"/>
      <c r="X1251" s="882"/>
      <c r="Y1251" s="882"/>
    </row>
    <row r="1252" spans="1:25" x14ac:dyDescent="0.2">
      <c r="A1252" s="881"/>
      <c r="B1252" s="881"/>
      <c r="C1252" s="881"/>
      <c r="D1252" s="881"/>
      <c r="E1252" s="881"/>
      <c r="R1252" s="882"/>
      <c r="S1252" s="882"/>
      <c r="T1252" s="882"/>
      <c r="U1252" s="882"/>
      <c r="V1252" s="882"/>
      <c r="W1252" s="882"/>
      <c r="X1252" s="882"/>
      <c r="Y1252" s="882"/>
    </row>
    <row r="1253" spans="1:25" x14ac:dyDescent="0.2">
      <c r="A1253" s="881"/>
      <c r="B1253" s="881"/>
      <c r="C1253" s="881"/>
      <c r="D1253" s="881"/>
      <c r="E1253" s="881"/>
      <c r="R1253" s="882"/>
      <c r="S1253" s="882"/>
      <c r="T1253" s="882"/>
      <c r="U1253" s="882"/>
      <c r="V1253" s="882"/>
      <c r="W1253" s="882"/>
      <c r="X1253" s="882"/>
      <c r="Y1253" s="882"/>
    </row>
    <row r="1254" spans="1:25" x14ac:dyDescent="0.2">
      <c r="A1254" s="881"/>
      <c r="B1254" s="881"/>
      <c r="C1254" s="881"/>
      <c r="D1254" s="881"/>
      <c r="E1254" s="881"/>
      <c r="R1254" s="882"/>
      <c r="S1254" s="882"/>
      <c r="T1254" s="882"/>
      <c r="U1254" s="882"/>
      <c r="V1254" s="882"/>
      <c r="W1254" s="882"/>
      <c r="X1254" s="882"/>
      <c r="Y1254" s="882"/>
    </row>
    <row r="1255" spans="1:25" x14ac:dyDescent="0.2">
      <c r="A1255" s="881"/>
      <c r="B1255" s="881"/>
      <c r="C1255" s="881"/>
      <c r="D1255" s="881"/>
      <c r="E1255" s="881"/>
      <c r="R1255" s="882"/>
      <c r="S1255" s="882"/>
      <c r="T1255" s="882"/>
      <c r="U1255" s="882"/>
      <c r="V1255" s="882"/>
      <c r="W1255" s="882"/>
      <c r="X1255" s="882"/>
      <c r="Y1255" s="882"/>
    </row>
    <row r="1256" spans="1:25" x14ac:dyDescent="0.2">
      <c r="A1256" s="881"/>
      <c r="B1256" s="881"/>
      <c r="C1256" s="881"/>
      <c r="D1256" s="881"/>
      <c r="E1256" s="881"/>
      <c r="R1256" s="882"/>
      <c r="S1256" s="882"/>
      <c r="T1256" s="882"/>
      <c r="U1256" s="882"/>
      <c r="V1256" s="882"/>
      <c r="W1256" s="882"/>
      <c r="X1256" s="882"/>
      <c r="Y1256" s="882"/>
    </row>
    <row r="1257" spans="1:25" x14ac:dyDescent="0.2">
      <c r="A1257" s="881"/>
      <c r="B1257" s="881"/>
      <c r="C1257" s="881"/>
      <c r="D1257" s="881"/>
      <c r="E1257" s="881"/>
      <c r="R1257" s="882"/>
      <c r="S1257" s="882"/>
      <c r="T1257" s="882"/>
      <c r="U1257" s="882"/>
      <c r="V1257" s="882"/>
      <c r="W1257" s="882"/>
      <c r="X1257" s="882"/>
      <c r="Y1257" s="882"/>
    </row>
    <row r="1258" spans="1:25" x14ac:dyDescent="0.2">
      <c r="A1258" s="881"/>
      <c r="B1258" s="881"/>
      <c r="C1258" s="881"/>
      <c r="D1258" s="881"/>
      <c r="E1258" s="881"/>
      <c r="R1258" s="882"/>
      <c r="S1258" s="882"/>
      <c r="T1258" s="882"/>
      <c r="U1258" s="882"/>
      <c r="V1258" s="882"/>
      <c r="W1258" s="882"/>
      <c r="X1258" s="882"/>
      <c r="Y1258" s="882"/>
    </row>
    <row r="1259" spans="1:25" x14ac:dyDescent="0.2">
      <c r="A1259" s="881"/>
      <c r="B1259" s="881"/>
      <c r="C1259" s="881"/>
      <c r="D1259" s="881"/>
      <c r="E1259" s="881"/>
      <c r="R1259" s="882"/>
      <c r="S1259" s="882"/>
      <c r="T1259" s="882"/>
      <c r="U1259" s="882"/>
      <c r="V1259" s="882"/>
      <c r="W1259" s="882"/>
      <c r="X1259" s="882"/>
      <c r="Y1259" s="882"/>
    </row>
    <row r="1260" spans="1:25" x14ac:dyDescent="0.2">
      <c r="A1260" s="881"/>
      <c r="B1260" s="881"/>
      <c r="C1260" s="881"/>
      <c r="D1260" s="881"/>
      <c r="E1260" s="881"/>
      <c r="R1260" s="882"/>
      <c r="S1260" s="882"/>
      <c r="T1260" s="882"/>
      <c r="U1260" s="882"/>
      <c r="V1260" s="882"/>
      <c r="W1260" s="882"/>
      <c r="X1260" s="882"/>
      <c r="Y1260" s="882"/>
    </row>
    <row r="1261" spans="1:25" x14ac:dyDescent="0.2">
      <c r="A1261" s="881"/>
      <c r="B1261" s="881"/>
      <c r="C1261" s="881"/>
      <c r="D1261" s="881"/>
      <c r="E1261" s="881"/>
      <c r="R1261" s="882"/>
      <c r="S1261" s="882"/>
      <c r="T1261" s="882"/>
      <c r="U1261" s="882"/>
      <c r="V1261" s="882"/>
      <c r="W1261" s="882"/>
      <c r="X1261" s="882"/>
      <c r="Y1261" s="882"/>
    </row>
    <row r="1262" spans="1:25" x14ac:dyDescent="0.2">
      <c r="A1262" s="881"/>
      <c r="B1262" s="881"/>
      <c r="C1262" s="881"/>
      <c r="D1262" s="881"/>
      <c r="E1262" s="881"/>
      <c r="R1262" s="882"/>
      <c r="S1262" s="882"/>
      <c r="T1262" s="882"/>
      <c r="U1262" s="882"/>
      <c r="V1262" s="882"/>
      <c r="W1262" s="882"/>
      <c r="X1262" s="882"/>
      <c r="Y1262" s="882"/>
    </row>
    <row r="1263" spans="1:25" x14ac:dyDescent="0.2">
      <c r="A1263" s="881"/>
      <c r="B1263" s="881"/>
      <c r="C1263" s="881"/>
      <c r="D1263" s="881"/>
      <c r="E1263" s="881"/>
      <c r="R1263" s="882"/>
      <c r="S1263" s="882"/>
      <c r="T1263" s="882"/>
      <c r="U1263" s="882"/>
      <c r="V1263" s="882"/>
      <c r="W1263" s="882"/>
      <c r="X1263" s="882"/>
      <c r="Y1263" s="882"/>
    </row>
    <row r="1264" spans="1:25" x14ac:dyDescent="0.2">
      <c r="A1264" s="881"/>
      <c r="B1264" s="881"/>
      <c r="C1264" s="881"/>
      <c r="D1264" s="881"/>
      <c r="E1264" s="881"/>
      <c r="R1264" s="882"/>
      <c r="S1264" s="882"/>
      <c r="T1264" s="882"/>
      <c r="U1264" s="882"/>
      <c r="V1264" s="882"/>
      <c r="W1264" s="882"/>
      <c r="X1264" s="882"/>
      <c r="Y1264" s="882"/>
    </row>
    <row r="1265" spans="1:25" x14ac:dyDescent="0.2">
      <c r="A1265" s="881"/>
      <c r="B1265" s="881"/>
      <c r="C1265" s="881"/>
      <c r="D1265" s="881"/>
      <c r="E1265" s="881"/>
      <c r="R1265" s="882"/>
      <c r="S1265" s="882"/>
      <c r="T1265" s="882"/>
      <c r="U1265" s="882"/>
      <c r="V1265" s="882"/>
      <c r="W1265" s="882"/>
      <c r="X1265" s="882"/>
      <c r="Y1265" s="882"/>
    </row>
    <row r="1266" spans="1:25" x14ac:dyDescent="0.2">
      <c r="A1266" s="881"/>
      <c r="B1266" s="881"/>
      <c r="C1266" s="881"/>
      <c r="D1266" s="881"/>
      <c r="E1266" s="881"/>
      <c r="R1266" s="882"/>
      <c r="S1266" s="882"/>
      <c r="T1266" s="882"/>
      <c r="U1266" s="882"/>
      <c r="V1266" s="882"/>
      <c r="W1266" s="882"/>
      <c r="X1266" s="882"/>
      <c r="Y1266" s="882"/>
    </row>
    <row r="1267" spans="1:25" x14ac:dyDescent="0.2">
      <c r="A1267" s="881"/>
      <c r="B1267" s="881"/>
      <c r="C1267" s="881"/>
      <c r="D1267" s="881"/>
      <c r="E1267" s="881"/>
      <c r="R1267" s="882"/>
      <c r="S1267" s="882"/>
      <c r="T1267" s="882"/>
      <c r="U1267" s="882"/>
      <c r="V1267" s="882"/>
      <c r="W1267" s="882"/>
      <c r="X1267" s="882"/>
      <c r="Y1267" s="882"/>
    </row>
    <row r="1268" spans="1:25" x14ac:dyDescent="0.2">
      <c r="A1268" s="881"/>
      <c r="B1268" s="881"/>
      <c r="C1268" s="881"/>
      <c r="D1268" s="881"/>
      <c r="E1268" s="881"/>
      <c r="R1268" s="882"/>
      <c r="S1268" s="882"/>
      <c r="T1268" s="882"/>
      <c r="U1268" s="882"/>
      <c r="V1268" s="882"/>
      <c r="W1268" s="882"/>
      <c r="X1268" s="882"/>
      <c r="Y1268" s="882"/>
    </row>
    <row r="1269" spans="1:25" x14ac:dyDescent="0.2">
      <c r="A1269" s="881"/>
      <c r="B1269" s="881"/>
      <c r="C1269" s="881"/>
      <c r="D1269" s="881"/>
      <c r="E1269" s="881"/>
      <c r="R1269" s="882"/>
      <c r="S1269" s="882"/>
      <c r="T1269" s="882"/>
      <c r="U1269" s="882"/>
      <c r="V1269" s="882"/>
      <c r="W1269" s="882"/>
      <c r="X1269" s="882"/>
      <c r="Y1269" s="882"/>
    </row>
    <row r="1270" spans="1:25" x14ac:dyDescent="0.2">
      <c r="A1270" s="881"/>
      <c r="B1270" s="881"/>
      <c r="C1270" s="881"/>
      <c r="D1270" s="881"/>
      <c r="E1270" s="881"/>
      <c r="R1270" s="882"/>
      <c r="S1270" s="882"/>
      <c r="T1270" s="882"/>
      <c r="U1270" s="882"/>
      <c r="V1270" s="882"/>
      <c r="W1270" s="882"/>
      <c r="X1270" s="882"/>
      <c r="Y1270" s="882"/>
    </row>
    <row r="1271" spans="1:25" x14ac:dyDescent="0.2">
      <c r="A1271" s="881"/>
      <c r="B1271" s="881"/>
      <c r="C1271" s="881"/>
      <c r="D1271" s="881"/>
      <c r="E1271" s="881"/>
      <c r="R1271" s="882"/>
      <c r="S1271" s="882"/>
      <c r="T1271" s="882"/>
      <c r="U1271" s="882"/>
      <c r="V1271" s="882"/>
      <c r="W1271" s="882"/>
      <c r="X1271" s="882"/>
      <c r="Y1271" s="882"/>
    </row>
    <row r="1272" spans="1:25" x14ac:dyDescent="0.2">
      <c r="A1272" s="881"/>
      <c r="B1272" s="881"/>
      <c r="C1272" s="881"/>
      <c r="D1272" s="881"/>
      <c r="E1272" s="881"/>
      <c r="R1272" s="882"/>
      <c r="S1272" s="882"/>
      <c r="T1272" s="882"/>
      <c r="U1272" s="882"/>
      <c r="V1272" s="882"/>
      <c r="W1272" s="882"/>
      <c r="X1272" s="882"/>
      <c r="Y1272" s="882"/>
    </row>
    <row r="1273" spans="1:25" x14ac:dyDescent="0.2">
      <c r="A1273" s="881"/>
      <c r="B1273" s="881"/>
      <c r="C1273" s="881"/>
      <c r="D1273" s="881"/>
      <c r="E1273" s="881"/>
      <c r="R1273" s="882"/>
      <c r="S1273" s="882"/>
      <c r="T1273" s="882"/>
      <c r="U1273" s="882"/>
      <c r="V1273" s="882"/>
      <c r="W1273" s="882"/>
      <c r="X1273" s="882"/>
      <c r="Y1273" s="882"/>
    </row>
    <row r="1274" spans="1:25" x14ac:dyDescent="0.2">
      <c r="A1274" s="881"/>
      <c r="B1274" s="881"/>
      <c r="C1274" s="881"/>
      <c r="D1274" s="881"/>
      <c r="E1274" s="881"/>
      <c r="R1274" s="882"/>
      <c r="S1274" s="882"/>
      <c r="T1274" s="882"/>
      <c r="U1274" s="882"/>
      <c r="V1274" s="882"/>
      <c r="W1274" s="882"/>
      <c r="X1274" s="882"/>
      <c r="Y1274" s="882"/>
    </row>
    <row r="1275" spans="1:25" x14ac:dyDescent="0.2">
      <c r="A1275" s="881"/>
      <c r="B1275" s="881"/>
      <c r="C1275" s="881"/>
      <c r="D1275" s="881"/>
      <c r="E1275" s="881"/>
      <c r="R1275" s="882"/>
      <c r="S1275" s="882"/>
      <c r="T1275" s="882"/>
      <c r="U1275" s="882"/>
      <c r="V1275" s="882"/>
      <c r="W1275" s="882"/>
      <c r="X1275" s="882"/>
      <c r="Y1275" s="882"/>
    </row>
    <row r="1276" spans="1:25" x14ac:dyDescent="0.2">
      <c r="A1276" s="881"/>
      <c r="B1276" s="881"/>
      <c r="C1276" s="881"/>
      <c r="D1276" s="881"/>
      <c r="E1276" s="881"/>
      <c r="R1276" s="882"/>
      <c r="S1276" s="882"/>
      <c r="T1276" s="882"/>
      <c r="U1276" s="882"/>
      <c r="V1276" s="882"/>
      <c r="W1276" s="882"/>
      <c r="X1276" s="882"/>
      <c r="Y1276" s="882"/>
    </row>
    <row r="1277" spans="1:25" x14ac:dyDescent="0.2">
      <c r="A1277" s="881"/>
      <c r="B1277" s="881"/>
      <c r="C1277" s="881"/>
      <c r="D1277" s="881"/>
      <c r="E1277" s="881"/>
      <c r="R1277" s="882"/>
      <c r="S1277" s="882"/>
      <c r="T1277" s="882"/>
      <c r="U1277" s="882"/>
      <c r="V1277" s="882"/>
      <c r="W1277" s="882"/>
      <c r="X1277" s="882"/>
      <c r="Y1277" s="882"/>
    </row>
    <row r="1278" spans="1:25" x14ac:dyDescent="0.2">
      <c r="A1278" s="881"/>
      <c r="B1278" s="881"/>
      <c r="C1278" s="881"/>
      <c r="D1278" s="881"/>
      <c r="E1278" s="881"/>
      <c r="R1278" s="882"/>
      <c r="S1278" s="882"/>
      <c r="T1278" s="882"/>
      <c r="U1278" s="882"/>
      <c r="V1278" s="882"/>
      <c r="W1278" s="882"/>
      <c r="X1278" s="882"/>
      <c r="Y1278" s="882"/>
    </row>
    <row r="1279" spans="1:25" x14ac:dyDescent="0.2">
      <c r="A1279" s="881"/>
      <c r="B1279" s="881"/>
      <c r="C1279" s="881"/>
      <c r="D1279" s="881"/>
      <c r="E1279" s="881"/>
      <c r="R1279" s="882"/>
      <c r="S1279" s="882"/>
      <c r="T1279" s="882"/>
      <c r="U1279" s="882"/>
      <c r="V1279" s="882"/>
      <c r="W1279" s="882"/>
      <c r="X1279" s="882"/>
      <c r="Y1279" s="882"/>
    </row>
    <row r="1280" spans="1:25" x14ac:dyDescent="0.2">
      <c r="A1280" s="881"/>
      <c r="B1280" s="881"/>
      <c r="C1280" s="881"/>
      <c r="D1280" s="881"/>
      <c r="E1280" s="881"/>
      <c r="R1280" s="882"/>
      <c r="S1280" s="882"/>
      <c r="T1280" s="882"/>
      <c r="U1280" s="882"/>
      <c r="V1280" s="882"/>
      <c r="W1280" s="882"/>
      <c r="X1280" s="882"/>
      <c r="Y1280" s="882"/>
    </row>
    <row r="1281" spans="1:25" x14ac:dyDescent="0.2">
      <c r="A1281" s="881"/>
      <c r="B1281" s="881"/>
      <c r="C1281" s="881"/>
      <c r="D1281" s="881"/>
      <c r="E1281" s="881"/>
      <c r="R1281" s="882"/>
      <c r="S1281" s="882"/>
      <c r="T1281" s="882"/>
      <c r="U1281" s="882"/>
      <c r="V1281" s="882"/>
      <c r="W1281" s="882"/>
      <c r="X1281" s="882"/>
      <c r="Y1281" s="882"/>
    </row>
    <row r="1282" spans="1:25" x14ac:dyDescent="0.2">
      <c r="A1282" s="881"/>
      <c r="B1282" s="881"/>
      <c r="C1282" s="881"/>
      <c r="D1282" s="881"/>
      <c r="E1282" s="881"/>
      <c r="R1282" s="882"/>
      <c r="S1282" s="882"/>
      <c r="T1282" s="882"/>
      <c r="U1282" s="882"/>
      <c r="V1282" s="882"/>
      <c r="W1282" s="882"/>
      <c r="X1282" s="882"/>
      <c r="Y1282" s="882"/>
    </row>
    <row r="1283" spans="1:25" x14ac:dyDescent="0.2">
      <c r="A1283" s="881"/>
      <c r="B1283" s="881"/>
      <c r="C1283" s="881"/>
      <c r="D1283" s="881"/>
      <c r="E1283" s="881"/>
      <c r="R1283" s="882"/>
      <c r="S1283" s="882"/>
      <c r="T1283" s="882"/>
      <c r="U1283" s="882"/>
      <c r="V1283" s="882"/>
      <c r="W1283" s="882"/>
      <c r="X1283" s="882"/>
      <c r="Y1283" s="882"/>
    </row>
    <row r="1284" spans="1:25" x14ac:dyDescent="0.2">
      <c r="A1284" s="881"/>
      <c r="B1284" s="881"/>
      <c r="C1284" s="881"/>
      <c r="D1284" s="881"/>
      <c r="E1284" s="881"/>
      <c r="R1284" s="882"/>
      <c r="S1284" s="882"/>
      <c r="T1284" s="882"/>
      <c r="U1284" s="882"/>
      <c r="V1284" s="882"/>
      <c r="W1284" s="882"/>
      <c r="X1284" s="882"/>
      <c r="Y1284" s="882"/>
    </row>
    <row r="1285" spans="1:25" x14ac:dyDescent="0.2">
      <c r="A1285" s="881"/>
      <c r="B1285" s="881"/>
      <c r="C1285" s="881"/>
      <c r="D1285" s="881"/>
      <c r="E1285" s="881"/>
      <c r="R1285" s="882"/>
      <c r="S1285" s="882"/>
      <c r="T1285" s="882"/>
      <c r="U1285" s="882"/>
      <c r="V1285" s="882"/>
      <c r="W1285" s="882"/>
      <c r="X1285" s="882"/>
      <c r="Y1285" s="882"/>
    </row>
    <row r="1286" spans="1:25" x14ac:dyDescent="0.2">
      <c r="A1286" s="881"/>
      <c r="B1286" s="881"/>
      <c r="C1286" s="881"/>
      <c r="D1286" s="881"/>
      <c r="E1286" s="881"/>
      <c r="R1286" s="882"/>
      <c r="S1286" s="882"/>
      <c r="T1286" s="882"/>
      <c r="U1286" s="882"/>
      <c r="V1286" s="882"/>
      <c r="W1286" s="882"/>
      <c r="X1286" s="882"/>
      <c r="Y1286" s="882"/>
    </row>
    <row r="1287" spans="1:25" x14ac:dyDescent="0.2">
      <c r="A1287" s="881"/>
      <c r="B1287" s="881"/>
      <c r="C1287" s="881"/>
      <c r="D1287" s="881"/>
      <c r="E1287" s="881"/>
      <c r="R1287" s="882"/>
      <c r="S1287" s="882"/>
      <c r="T1287" s="882"/>
      <c r="U1287" s="882"/>
      <c r="V1287" s="882"/>
      <c r="W1287" s="882"/>
      <c r="X1287" s="882"/>
      <c r="Y1287" s="882"/>
    </row>
    <row r="1288" spans="1:25" x14ac:dyDescent="0.2">
      <c r="A1288" s="881"/>
      <c r="B1288" s="881"/>
      <c r="C1288" s="881"/>
      <c r="D1288" s="881"/>
      <c r="E1288" s="881"/>
      <c r="R1288" s="882"/>
      <c r="S1288" s="882"/>
      <c r="T1288" s="882"/>
      <c r="U1288" s="882"/>
      <c r="V1288" s="882"/>
      <c r="W1288" s="882"/>
      <c r="X1288" s="882"/>
      <c r="Y1288" s="882"/>
    </row>
    <row r="1289" spans="1:25" x14ac:dyDescent="0.2">
      <c r="A1289" s="881"/>
      <c r="B1289" s="881"/>
      <c r="C1289" s="881"/>
      <c r="D1289" s="881"/>
      <c r="E1289" s="881"/>
      <c r="R1289" s="882"/>
      <c r="S1289" s="882"/>
      <c r="T1289" s="882"/>
      <c r="U1289" s="882"/>
      <c r="V1289" s="882"/>
      <c r="W1289" s="882"/>
      <c r="X1289" s="882"/>
      <c r="Y1289" s="882"/>
    </row>
    <row r="1290" spans="1:25" x14ac:dyDescent="0.2">
      <c r="A1290" s="881"/>
      <c r="B1290" s="881"/>
      <c r="C1290" s="881"/>
      <c r="D1290" s="881"/>
      <c r="E1290" s="881"/>
      <c r="R1290" s="882"/>
      <c r="S1290" s="882"/>
      <c r="T1290" s="882"/>
      <c r="U1290" s="882"/>
      <c r="V1290" s="882"/>
      <c r="W1290" s="882"/>
      <c r="X1290" s="882"/>
      <c r="Y1290" s="882"/>
    </row>
    <row r="1291" spans="1:25" x14ac:dyDescent="0.2">
      <c r="A1291" s="881"/>
      <c r="B1291" s="881"/>
      <c r="C1291" s="881"/>
      <c r="D1291" s="881"/>
      <c r="E1291" s="881"/>
      <c r="R1291" s="882"/>
      <c r="S1291" s="882"/>
      <c r="T1291" s="882"/>
      <c r="U1291" s="882"/>
      <c r="V1291" s="882"/>
      <c r="W1291" s="882"/>
      <c r="X1291" s="882"/>
      <c r="Y1291" s="882"/>
    </row>
    <row r="1292" spans="1:25" x14ac:dyDescent="0.2">
      <c r="A1292" s="881"/>
      <c r="B1292" s="881"/>
      <c r="C1292" s="881"/>
      <c r="D1292" s="881"/>
      <c r="E1292" s="881"/>
      <c r="R1292" s="882"/>
      <c r="S1292" s="882"/>
      <c r="T1292" s="882"/>
      <c r="U1292" s="882"/>
      <c r="V1292" s="882"/>
      <c r="W1292" s="882"/>
      <c r="X1292" s="882"/>
      <c r="Y1292" s="882"/>
    </row>
    <row r="1293" spans="1:25" x14ac:dyDescent="0.2">
      <c r="A1293" s="881"/>
      <c r="B1293" s="881"/>
      <c r="C1293" s="881"/>
      <c r="D1293" s="881"/>
      <c r="E1293" s="881"/>
      <c r="R1293" s="882"/>
      <c r="S1293" s="882"/>
      <c r="T1293" s="882"/>
      <c r="U1293" s="882"/>
      <c r="V1293" s="882"/>
      <c r="W1293" s="882"/>
      <c r="X1293" s="882"/>
      <c r="Y1293" s="882"/>
    </row>
    <row r="1294" spans="1:25" x14ac:dyDescent="0.2">
      <c r="A1294" s="881"/>
      <c r="B1294" s="881"/>
      <c r="C1294" s="881"/>
      <c r="D1294" s="881"/>
      <c r="E1294" s="881"/>
      <c r="R1294" s="882"/>
      <c r="S1294" s="882"/>
      <c r="T1294" s="882"/>
      <c r="U1294" s="882"/>
      <c r="V1294" s="882"/>
      <c r="W1294" s="882"/>
      <c r="X1294" s="882"/>
      <c r="Y1294" s="882"/>
    </row>
    <row r="1295" spans="1:25" x14ac:dyDescent="0.2">
      <c r="A1295" s="881"/>
      <c r="B1295" s="881"/>
      <c r="C1295" s="881"/>
      <c r="D1295" s="881"/>
      <c r="E1295" s="881"/>
      <c r="R1295" s="882"/>
      <c r="S1295" s="882"/>
      <c r="T1295" s="882"/>
      <c r="U1295" s="882"/>
      <c r="V1295" s="882"/>
      <c r="W1295" s="882"/>
      <c r="X1295" s="882"/>
      <c r="Y1295" s="882"/>
    </row>
    <row r="1296" spans="1:25" x14ac:dyDescent="0.2">
      <c r="A1296" s="881"/>
      <c r="B1296" s="881"/>
      <c r="C1296" s="881"/>
      <c r="D1296" s="881"/>
      <c r="E1296" s="881"/>
      <c r="R1296" s="882"/>
      <c r="S1296" s="882"/>
      <c r="T1296" s="882"/>
      <c r="U1296" s="882"/>
      <c r="V1296" s="882"/>
      <c r="W1296" s="882"/>
      <c r="X1296" s="882"/>
      <c r="Y1296" s="882"/>
    </row>
    <row r="1297" spans="1:25" x14ac:dyDescent="0.2">
      <c r="A1297" s="881"/>
      <c r="B1297" s="881"/>
      <c r="C1297" s="881"/>
      <c r="D1297" s="881"/>
      <c r="E1297" s="881"/>
      <c r="R1297" s="882"/>
      <c r="S1297" s="882"/>
      <c r="T1297" s="882"/>
      <c r="U1297" s="882"/>
      <c r="V1297" s="882"/>
      <c r="W1297" s="882"/>
      <c r="X1297" s="882"/>
      <c r="Y1297" s="882"/>
    </row>
    <row r="1298" spans="1:25" x14ac:dyDescent="0.2">
      <c r="A1298" s="881"/>
      <c r="B1298" s="881"/>
      <c r="C1298" s="881"/>
      <c r="D1298" s="881"/>
      <c r="E1298" s="881"/>
      <c r="R1298" s="882"/>
      <c r="S1298" s="882"/>
      <c r="T1298" s="882"/>
      <c r="U1298" s="882"/>
      <c r="V1298" s="882"/>
      <c r="W1298" s="882"/>
      <c r="X1298" s="882"/>
      <c r="Y1298" s="882"/>
    </row>
    <row r="1299" spans="1:25" x14ac:dyDescent="0.2">
      <c r="A1299" s="881"/>
      <c r="B1299" s="881"/>
      <c r="C1299" s="881"/>
      <c r="D1299" s="881"/>
      <c r="E1299" s="881"/>
      <c r="R1299" s="882"/>
      <c r="S1299" s="882"/>
      <c r="T1299" s="882"/>
      <c r="U1299" s="882"/>
      <c r="V1299" s="882"/>
      <c r="W1299" s="882"/>
      <c r="X1299" s="882"/>
      <c r="Y1299" s="882"/>
    </row>
    <row r="1300" spans="1:25" x14ac:dyDescent="0.2">
      <c r="A1300" s="881"/>
      <c r="B1300" s="881"/>
      <c r="C1300" s="881"/>
      <c r="D1300" s="881"/>
      <c r="E1300" s="881"/>
      <c r="R1300" s="882"/>
      <c r="S1300" s="882"/>
      <c r="T1300" s="882"/>
      <c r="U1300" s="882"/>
      <c r="V1300" s="882"/>
      <c r="W1300" s="882"/>
      <c r="X1300" s="882"/>
      <c r="Y1300" s="882"/>
    </row>
    <row r="1301" spans="1:25" x14ac:dyDescent="0.2">
      <c r="A1301" s="881"/>
      <c r="B1301" s="881"/>
      <c r="C1301" s="881"/>
      <c r="D1301" s="881"/>
      <c r="E1301" s="881"/>
      <c r="R1301" s="882"/>
      <c r="S1301" s="882"/>
      <c r="T1301" s="882"/>
      <c r="U1301" s="882"/>
      <c r="V1301" s="882"/>
      <c r="W1301" s="882"/>
      <c r="X1301" s="882"/>
      <c r="Y1301" s="882"/>
    </row>
    <row r="1302" spans="1:25" x14ac:dyDescent="0.2">
      <c r="A1302" s="881"/>
      <c r="B1302" s="881"/>
      <c r="C1302" s="881"/>
      <c r="D1302" s="881"/>
      <c r="E1302" s="881"/>
      <c r="R1302" s="882"/>
      <c r="S1302" s="882"/>
      <c r="T1302" s="882"/>
      <c r="U1302" s="882"/>
      <c r="V1302" s="882"/>
      <c r="W1302" s="882"/>
      <c r="X1302" s="882"/>
      <c r="Y1302" s="882"/>
    </row>
    <row r="1303" spans="1:25" x14ac:dyDescent="0.2">
      <c r="A1303" s="881"/>
      <c r="B1303" s="881"/>
      <c r="C1303" s="881"/>
      <c r="D1303" s="881"/>
      <c r="E1303" s="881"/>
      <c r="R1303" s="882"/>
      <c r="S1303" s="882"/>
      <c r="T1303" s="882"/>
      <c r="U1303" s="882"/>
      <c r="V1303" s="882"/>
      <c r="W1303" s="882"/>
      <c r="X1303" s="882"/>
      <c r="Y1303" s="882"/>
    </row>
    <row r="1304" spans="1:25" x14ac:dyDescent="0.2">
      <c r="A1304" s="881"/>
      <c r="B1304" s="881"/>
      <c r="C1304" s="881"/>
      <c r="D1304" s="881"/>
      <c r="E1304" s="881"/>
      <c r="R1304" s="882"/>
      <c r="S1304" s="882"/>
      <c r="T1304" s="882"/>
      <c r="U1304" s="882"/>
      <c r="V1304" s="882"/>
      <c r="W1304" s="882"/>
      <c r="X1304" s="882"/>
      <c r="Y1304" s="882"/>
    </row>
    <row r="1305" spans="1:25" x14ac:dyDescent="0.2">
      <c r="A1305" s="881"/>
      <c r="B1305" s="881"/>
      <c r="C1305" s="881"/>
      <c r="D1305" s="881"/>
      <c r="E1305" s="881"/>
      <c r="R1305" s="882"/>
      <c r="S1305" s="882"/>
      <c r="T1305" s="882"/>
      <c r="U1305" s="882"/>
      <c r="V1305" s="882"/>
      <c r="W1305" s="882"/>
      <c r="X1305" s="882"/>
      <c r="Y1305" s="882"/>
    </row>
    <row r="1306" spans="1:25" x14ac:dyDescent="0.2">
      <c r="A1306" s="881"/>
      <c r="B1306" s="881"/>
      <c r="C1306" s="881"/>
      <c r="D1306" s="881"/>
      <c r="E1306" s="881"/>
      <c r="R1306" s="882"/>
      <c r="S1306" s="882"/>
      <c r="T1306" s="882"/>
      <c r="U1306" s="882"/>
      <c r="V1306" s="882"/>
      <c r="W1306" s="882"/>
      <c r="X1306" s="882"/>
      <c r="Y1306" s="882"/>
    </row>
    <row r="1307" spans="1:25" x14ac:dyDescent="0.2">
      <c r="A1307" s="881"/>
      <c r="B1307" s="881"/>
      <c r="C1307" s="881"/>
      <c r="D1307" s="881"/>
      <c r="E1307" s="881"/>
      <c r="R1307" s="882"/>
      <c r="S1307" s="882"/>
      <c r="T1307" s="882"/>
      <c r="U1307" s="882"/>
      <c r="V1307" s="882"/>
      <c r="W1307" s="882"/>
      <c r="X1307" s="882"/>
      <c r="Y1307" s="882"/>
    </row>
    <row r="1308" spans="1:25" x14ac:dyDescent="0.2">
      <c r="A1308" s="881"/>
      <c r="B1308" s="881"/>
      <c r="C1308" s="881"/>
      <c r="D1308" s="881"/>
      <c r="E1308" s="881"/>
      <c r="R1308" s="882"/>
      <c r="S1308" s="882"/>
      <c r="T1308" s="882"/>
      <c r="U1308" s="882"/>
      <c r="V1308" s="882"/>
      <c r="W1308" s="882"/>
      <c r="X1308" s="882"/>
      <c r="Y1308" s="882"/>
    </row>
    <row r="1309" spans="1:25" x14ac:dyDescent="0.2">
      <c r="A1309" s="881"/>
      <c r="B1309" s="881"/>
      <c r="C1309" s="881"/>
      <c r="D1309" s="881"/>
      <c r="E1309" s="881"/>
      <c r="R1309" s="882"/>
      <c r="S1309" s="882"/>
      <c r="T1309" s="882"/>
      <c r="U1309" s="882"/>
      <c r="V1309" s="882"/>
      <c r="W1309" s="882"/>
      <c r="X1309" s="882"/>
      <c r="Y1309" s="882"/>
    </row>
    <row r="1310" spans="1:25" x14ac:dyDescent="0.2">
      <c r="A1310" s="881"/>
      <c r="B1310" s="881"/>
      <c r="C1310" s="881"/>
      <c r="D1310" s="881"/>
      <c r="E1310" s="881"/>
      <c r="R1310" s="882"/>
      <c r="S1310" s="882"/>
      <c r="T1310" s="882"/>
      <c r="U1310" s="882"/>
      <c r="V1310" s="882"/>
      <c r="W1310" s="882"/>
      <c r="X1310" s="882"/>
      <c r="Y1310" s="882"/>
    </row>
    <row r="1311" spans="1:25" x14ac:dyDescent="0.2">
      <c r="A1311" s="881"/>
      <c r="B1311" s="881"/>
      <c r="C1311" s="881"/>
      <c r="D1311" s="881"/>
      <c r="E1311" s="881"/>
      <c r="R1311" s="882"/>
      <c r="S1311" s="882"/>
      <c r="T1311" s="882"/>
      <c r="U1311" s="882"/>
      <c r="V1311" s="882"/>
      <c r="W1311" s="882"/>
      <c r="X1311" s="882"/>
      <c r="Y1311" s="882"/>
    </row>
    <row r="1312" spans="1:25" x14ac:dyDescent="0.2">
      <c r="A1312" s="881"/>
      <c r="B1312" s="881"/>
      <c r="C1312" s="881"/>
      <c r="D1312" s="881"/>
      <c r="E1312" s="881"/>
      <c r="R1312" s="882"/>
      <c r="S1312" s="882"/>
      <c r="T1312" s="882"/>
      <c r="U1312" s="882"/>
      <c r="V1312" s="882"/>
      <c r="W1312" s="882"/>
      <c r="X1312" s="882"/>
      <c r="Y1312" s="882"/>
    </row>
    <row r="1313" spans="1:25" x14ac:dyDescent="0.2">
      <c r="A1313" s="881"/>
      <c r="B1313" s="881"/>
      <c r="C1313" s="881"/>
      <c r="D1313" s="881"/>
      <c r="E1313" s="881"/>
      <c r="R1313" s="882"/>
      <c r="S1313" s="882"/>
      <c r="T1313" s="882"/>
      <c r="U1313" s="882"/>
      <c r="V1313" s="882"/>
      <c r="W1313" s="882"/>
      <c r="X1313" s="882"/>
      <c r="Y1313" s="882"/>
    </row>
    <row r="1314" spans="1:25" x14ac:dyDescent="0.2">
      <c r="A1314" s="881"/>
      <c r="B1314" s="881"/>
      <c r="C1314" s="881"/>
      <c r="D1314" s="881"/>
      <c r="E1314" s="881"/>
      <c r="R1314" s="882"/>
      <c r="S1314" s="882"/>
      <c r="T1314" s="882"/>
      <c r="U1314" s="882"/>
      <c r="V1314" s="882"/>
      <c r="W1314" s="882"/>
      <c r="X1314" s="882"/>
      <c r="Y1314" s="882"/>
    </row>
    <row r="1315" spans="1:25" x14ac:dyDescent="0.2">
      <c r="A1315" s="881"/>
      <c r="B1315" s="881"/>
      <c r="C1315" s="881"/>
      <c r="D1315" s="881"/>
      <c r="E1315" s="881"/>
      <c r="R1315" s="882"/>
      <c r="S1315" s="882"/>
      <c r="T1315" s="882"/>
      <c r="U1315" s="882"/>
      <c r="V1315" s="882"/>
      <c r="W1315" s="882"/>
      <c r="X1315" s="882"/>
      <c r="Y1315" s="882"/>
    </row>
    <row r="1316" spans="1:25" x14ac:dyDescent="0.2">
      <c r="A1316" s="881"/>
      <c r="B1316" s="881"/>
      <c r="C1316" s="881"/>
      <c r="D1316" s="881"/>
      <c r="E1316" s="881"/>
      <c r="R1316" s="882"/>
      <c r="S1316" s="882"/>
      <c r="T1316" s="882"/>
      <c r="U1316" s="882"/>
      <c r="V1316" s="882"/>
      <c r="W1316" s="882"/>
      <c r="X1316" s="882"/>
      <c r="Y1316" s="882"/>
    </row>
    <row r="1317" spans="1:25" x14ac:dyDescent="0.2">
      <c r="A1317" s="881"/>
      <c r="B1317" s="881"/>
      <c r="C1317" s="881"/>
      <c r="D1317" s="881"/>
      <c r="E1317" s="881"/>
      <c r="R1317" s="882"/>
      <c r="S1317" s="882"/>
      <c r="T1317" s="882"/>
      <c r="U1317" s="882"/>
      <c r="V1317" s="882"/>
      <c r="W1317" s="882"/>
      <c r="X1317" s="882"/>
      <c r="Y1317" s="882"/>
    </row>
    <row r="1318" spans="1:25" x14ac:dyDescent="0.2">
      <c r="A1318" s="881"/>
      <c r="B1318" s="881"/>
      <c r="C1318" s="881"/>
      <c r="D1318" s="881"/>
      <c r="E1318" s="881"/>
      <c r="R1318" s="882"/>
      <c r="S1318" s="882"/>
      <c r="T1318" s="882"/>
      <c r="U1318" s="882"/>
      <c r="V1318" s="882"/>
      <c r="W1318" s="882"/>
      <c r="X1318" s="882"/>
      <c r="Y1318" s="882"/>
    </row>
    <row r="1319" spans="1:25" x14ac:dyDescent="0.2">
      <c r="A1319" s="881"/>
      <c r="B1319" s="881"/>
      <c r="C1319" s="881"/>
      <c r="D1319" s="881"/>
      <c r="E1319" s="881"/>
      <c r="R1319" s="882"/>
      <c r="S1319" s="882"/>
      <c r="T1319" s="882"/>
      <c r="U1319" s="882"/>
      <c r="V1319" s="882"/>
      <c r="W1319" s="882"/>
      <c r="X1319" s="882"/>
      <c r="Y1319" s="882"/>
    </row>
    <row r="1320" spans="1:25" x14ac:dyDescent="0.2">
      <c r="A1320" s="881"/>
      <c r="B1320" s="881"/>
      <c r="C1320" s="881"/>
      <c r="D1320" s="881"/>
      <c r="E1320" s="881"/>
      <c r="R1320" s="882"/>
      <c r="S1320" s="882"/>
      <c r="T1320" s="882"/>
      <c r="U1320" s="882"/>
      <c r="V1320" s="882"/>
      <c r="W1320" s="882"/>
      <c r="X1320" s="882"/>
      <c r="Y1320" s="882"/>
    </row>
    <row r="1321" spans="1:25" x14ac:dyDescent="0.2">
      <c r="A1321" s="881"/>
      <c r="B1321" s="881"/>
      <c r="C1321" s="881"/>
      <c r="D1321" s="881"/>
      <c r="E1321" s="881"/>
      <c r="R1321" s="882"/>
      <c r="S1321" s="882"/>
      <c r="T1321" s="882"/>
      <c r="U1321" s="882"/>
      <c r="V1321" s="882"/>
      <c r="W1321" s="882"/>
      <c r="X1321" s="882"/>
      <c r="Y1321" s="882"/>
    </row>
    <row r="1322" spans="1:25" x14ac:dyDescent="0.2">
      <c r="A1322" s="881"/>
      <c r="B1322" s="881"/>
      <c r="C1322" s="881"/>
      <c r="D1322" s="881"/>
      <c r="E1322" s="881"/>
      <c r="R1322" s="882"/>
      <c r="S1322" s="882"/>
      <c r="T1322" s="882"/>
      <c r="U1322" s="882"/>
      <c r="V1322" s="882"/>
      <c r="W1322" s="882"/>
      <c r="X1322" s="882"/>
      <c r="Y1322" s="882"/>
    </row>
    <row r="1323" spans="1:25" x14ac:dyDescent="0.2">
      <c r="A1323" s="881"/>
      <c r="B1323" s="881"/>
      <c r="C1323" s="881"/>
      <c r="D1323" s="881"/>
      <c r="E1323" s="881"/>
      <c r="R1323" s="882"/>
      <c r="S1323" s="882"/>
      <c r="T1323" s="882"/>
      <c r="U1323" s="882"/>
      <c r="V1323" s="882"/>
      <c r="W1323" s="882"/>
      <c r="X1323" s="882"/>
      <c r="Y1323" s="882"/>
    </row>
    <row r="1324" spans="1:25" x14ac:dyDescent="0.2">
      <c r="A1324" s="881"/>
      <c r="B1324" s="881"/>
      <c r="C1324" s="881"/>
      <c r="D1324" s="881"/>
      <c r="E1324" s="881"/>
      <c r="R1324" s="882"/>
      <c r="S1324" s="882"/>
      <c r="T1324" s="882"/>
      <c r="U1324" s="882"/>
      <c r="V1324" s="882"/>
      <c r="W1324" s="882"/>
      <c r="X1324" s="882"/>
      <c r="Y1324" s="882"/>
    </row>
    <row r="1325" spans="1:25" x14ac:dyDescent="0.2">
      <c r="A1325" s="881"/>
      <c r="B1325" s="881"/>
      <c r="C1325" s="881"/>
      <c r="D1325" s="881"/>
      <c r="E1325" s="881"/>
      <c r="R1325" s="882"/>
      <c r="S1325" s="882"/>
      <c r="T1325" s="882"/>
      <c r="U1325" s="882"/>
      <c r="V1325" s="882"/>
      <c r="W1325" s="882"/>
      <c r="X1325" s="882"/>
      <c r="Y1325" s="882"/>
    </row>
    <row r="1326" spans="1:25" x14ac:dyDescent="0.2">
      <c r="A1326" s="881"/>
      <c r="B1326" s="881"/>
      <c r="C1326" s="881"/>
      <c r="D1326" s="881"/>
      <c r="E1326" s="881"/>
      <c r="R1326" s="882"/>
      <c r="S1326" s="882"/>
      <c r="T1326" s="882"/>
      <c r="U1326" s="882"/>
      <c r="V1326" s="882"/>
      <c r="W1326" s="882"/>
      <c r="X1326" s="882"/>
      <c r="Y1326" s="882"/>
    </row>
    <row r="1327" spans="1:25" x14ac:dyDescent="0.2">
      <c r="A1327" s="881"/>
      <c r="B1327" s="881"/>
      <c r="C1327" s="881"/>
      <c r="D1327" s="881"/>
      <c r="E1327" s="881"/>
      <c r="R1327" s="882"/>
      <c r="S1327" s="882"/>
      <c r="T1327" s="882"/>
      <c r="U1327" s="882"/>
      <c r="V1327" s="882"/>
      <c r="W1327" s="882"/>
      <c r="X1327" s="882"/>
      <c r="Y1327" s="882"/>
    </row>
    <row r="1328" spans="1:25" x14ac:dyDescent="0.2">
      <c r="A1328" s="881"/>
      <c r="B1328" s="881"/>
      <c r="C1328" s="881"/>
      <c r="D1328" s="881"/>
      <c r="E1328" s="881"/>
      <c r="R1328" s="882"/>
      <c r="S1328" s="882"/>
      <c r="T1328" s="882"/>
      <c r="U1328" s="882"/>
      <c r="V1328" s="882"/>
      <c r="W1328" s="882"/>
      <c r="X1328" s="882"/>
      <c r="Y1328" s="882"/>
    </row>
    <row r="1329" spans="1:25" x14ac:dyDescent="0.2">
      <c r="A1329" s="881"/>
      <c r="B1329" s="881"/>
      <c r="C1329" s="881"/>
      <c r="D1329" s="881"/>
      <c r="E1329" s="881"/>
      <c r="R1329" s="882"/>
      <c r="S1329" s="882"/>
      <c r="T1329" s="882"/>
      <c r="U1329" s="882"/>
      <c r="V1329" s="882"/>
      <c r="W1329" s="882"/>
      <c r="X1329" s="882"/>
      <c r="Y1329" s="882"/>
    </row>
    <row r="1330" spans="1:25" x14ac:dyDescent="0.2">
      <c r="A1330" s="881"/>
      <c r="B1330" s="881"/>
      <c r="C1330" s="881"/>
      <c r="D1330" s="881"/>
      <c r="E1330" s="881"/>
      <c r="R1330" s="882"/>
      <c r="S1330" s="882"/>
      <c r="T1330" s="882"/>
      <c r="U1330" s="882"/>
      <c r="V1330" s="882"/>
      <c r="W1330" s="882"/>
      <c r="X1330" s="882"/>
      <c r="Y1330" s="882"/>
    </row>
    <row r="1331" spans="1:25" x14ac:dyDescent="0.2">
      <c r="A1331" s="881"/>
      <c r="B1331" s="881"/>
      <c r="C1331" s="881"/>
      <c r="D1331" s="881"/>
      <c r="E1331" s="881"/>
      <c r="R1331" s="882"/>
      <c r="S1331" s="882"/>
      <c r="T1331" s="882"/>
      <c r="U1331" s="882"/>
      <c r="V1331" s="882"/>
      <c r="W1331" s="882"/>
      <c r="X1331" s="882"/>
      <c r="Y1331" s="882"/>
    </row>
    <row r="1332" spans="1:25" x14ac:dyDescent="0.2">
      <c r="A1332" s="881"/>
      <c r="B1332" s="881"/>
      <c r="C1332" s="881"/>
      <c r="D1332" s="881"/>
      <c r="E1332" s="881"/>
      <c r="R1332" s="882"/>
      <c r="S1332" s="882"/>
      <c r="T1332" s="882"/>
      <c r="U1332" s="882"/>
      <c r="V1332" s="882"/>
      <c r="W1332" s="882"/>
      <c r="X1332" s="882"/>
      <c r="Y1332" s="882"/>
    </row>
    <row r="1333" spans="1:25" x14ac:dyDescent="0.2">
      <c r="A1333" s="881"/>
      <c r="B1333" s="881"/>
      <c r="C1333" s="881"/>
      <c r="D1333" s="881"/>
      <c r="E1333" s="881"/>
      <c r="R1333" s="882"/>
      <c r="S1333" s="882"/>
      <c r="T1333" s="882"/>
      <c r="U1333" s="882"/>
      <c r="V1333" s="882"/>
      <c r="W1333" s="882"/>
      <c r="X1333" s="882"/>
      <c r="Y1333" s="882"/>
    </row>
    <row r="1334" spans="1:25" x14ac:dyDescent="0.2">
      <c r="A1334" s="881"/>
      <c r="B1334" s="881"/>
      <c r="C1334" s="881"/>
      <c r="D1334" s="881"/>
      <c r="E1334" s="881"/>
      <c r="R1334" s="882"/>
      <c r="S1334" s="882"/>
      <c r="T1334" s="882"/>
      <c r="U1334" s="882"/>
      <c r="V1334" s="882"/>
      <c r="W1334" s="882"/>
      <c r="X1334" s="882"/>
      <c r="Y1334" s="882"/>
    </row>
    <row r="1335" spans="1:25" x14ac:dyDescent="0.2">
      <c r="A1335" s="881"/>
      <c r="B1335" s="881"/>
      <c r="C1335" s="881"/>
      <c r="D1335" s="881"/>
      <c r="E1335" s="881"/>
      <c r="R1335" s="882"/>
      <c r="S1335" s="882"/>
      <c r="T1335" s="882"/>
      <c r="U1335" s="882"/>
      <c r="V1335" s="882"/>
      <c r="W1335" s="882"/>
      <c r="X1335" s="882"/>
      <c r="Y1335" s="882"/>
    </row>
    <row r="1336" spans="1:25" x14ac:dyDescent="0.2">
      <c r="A1336" s="881"/>
      <c r="B1336" s="881"/>
      <c r="C1336" s="881"/>
      <c r="D1336" s="881"/>
      <c r="E1336" s="881"/>
      <c r="R1336" s="882"/>
      <c r="S1336" s="882"/>
      <c r="T1336" s="882"/>
      <c r="U1336" s="882"/>
      <c r="V1336" s="882"/>
      <c r="W1336" s="882"/>
      <c r="X1336" s="882"/>
      <c r="Y1336" s="882"/>
    </row>
    <row r="1337" spans="1:25" x14ac:dyDescent="0.2">
      <c r="A1337" s="881"/>
      <c r="B1337" s="881"/>
      <c r="C1337" s="881"/>
      <c r="D1337" s="881"/>
      <c r="E1337" s="881"/>
      <c r="R1337" s="882"/>
      <c r="S1337" s="882"/>
      <c r="T1337" s="882"/>
      <c r="U1337" s="882"/>
      <c r="V1337" s="882"/>
      <c r="W1337" s="882"/>
      <c r="X1337" s="882"/>
      <c r="Y1337" s="882"/>
    </row>
    <row r="1338" spans="1:25" x14ac:dyDescent="0.2">
      <c r="A1338" s="881"/>
      <c r="B1338" s="881"/>
      <c r="C1338" s="881"/>
      <c r="D1338" s="881"/>
      <c r="E1338" s="881"/>
      <c r="R1338" s="882"/>
      <c r="S1338" s="882"/>
      <c r="T1338" s="882"/>
      <c r="U1338" s="882"/>
      <c r="V1338" s="882"/>
      <c r="W1338" s="882"/>
      <c r="X1338" s="882"/>
      <c r="Y1338" s="882"/>
    </row>
    <row r="1339" spans="1:25" x14ac:dyDescent="0.2">
      <c r="A1339" s="881"/>
      <c r="B1339" s="881"/>
      <c r="C1339" s="881"/>
      <c r="D1339" s="881"/>
      <c r="E1339" s="881"/>
      <c r="R1339" s="882"/>
      <c r="S1339" s="882"/>
      <c r="T1339" s="882"/>
      <c r="U1339" s="882"/>
      <c r="V1339" s="882"/>
      <c r="W1339" s="882"/>
      <c r="X1339" s="882"/>
      <c r="Y1339" s="882"/>
    </row>
    <row r="1340" spans="1:25" x14ac:dyDescent="0.2">
      <c r="A1340" s="881"/>
      <c r="B1340" s="881"/>
      <c r="C1340" s="881"/>
      <c r="D1340" s="881"/>
      <c r="E1340" s="881"/>
      <c r="R1340" s="882"/>
      <c r="S1340" s="882"/>
      <c r="T1340" s="882"/>
      <c r="U1340" s="882"/>
      <c r="V1340" s="882"/>
      <c r="W1340" s="882"/>
      <c r="X1340" s="882"/>
      <c r="Y1340" s="882"/>
    </row>
    <row r="1341" spans="1:25" x14ac:dyDescent="0.2">
      <c r="A1341" s="881"/>
      <c r="B1341" s="881"/>
      <c r="C1341" s="881"/>
      <c r="D1341" s="881"/>
      <c r="E1341" s="881"/>
      <c r="R1341" s="882"/>
      <c r="S1341" s="882"/>
      <c r="T1341" s="882"/>
      <c r="U1341" s="882"/>
      <c r="V1341" s="882"/>
      <c r="W1341" s="882"/>
      <c r="X1341" s="882"/>
      <c r="Y1341" s="882"/>
    </row>
    <row r="1342" spans="1:25" x14ac:dyDescent="0.2">
      <c r="A1342" s="881"/>
      <c r="B1342" s="881"/>
      <c r="C1342" s="881"/>
      <c r="D1342" s="881"/>
      <c r="E1342" s="881"/>
      <c r="R1342" s="882"/>
      <c r="S1342" s="882"/>
      <c r="T1342" s="882"/>
      <c r="U1342" s="882"/>
      <c r="V1342" s="882"/>
      <c r="W1342" s="882"/>
      <c r="X1342" s="882"/>
      <c r="Y1342" s="882"/>
    </row>
    <row r="1343" spans="1:25" x14ac:dyDescent="0.2">
      <c r="A1343" s="881"/>
      <c r="B1343" s="881"/>
      <c r="C1343" s="881"/>
      <c r="D1343" s="881"/>
      <c r="E1343" s="881"/>
      <c r="R1343" s="882"/>
      <c r="S1343" s="882"/>
      <c r="T1343" s="882"/>
      <c r="U1343" s="882"/>
      <c r="V1343" s="882"/>
      <c r="W1343" s="882"/>
      <c r="X1343" s="882"/>
      <c r="Y1343" s="882"/>
    </row>
    <row r="1344" spans="1:25" x14ac:dyDescent="0.2">
      <c r="A1344" s="881"/>
      <c r="B1344" s="881"/>
      <c r="C1344" s="881"/>
      <c r="D1344" s="881"/>
      <c r="E1344" s="881"/>
      <c r="R1344" s="882"/>
      <c r="S1344" s="882"/>
      <c r="T1344" s="882"/>
      <c r="U1344" s="882"/>
      <c r="V1344" s="882"/>
      <c r="W1344" s="882"/>
      <c r="X1344" s="882"/>
      <c r="Y1344" s="882"/>
    </row>
    <row r="1345" spans="1:25" x14ac:dyDescent="0.2">
      <c r="A1345" s="881"/>
      <c r="B1345" s="881"/>
      <c r="C1345" s="881"/>
      <c r="D1345" s="881"/>
      <c r="E1345" s="881"/>
      <c r="R1345" s="882"/>
      <c r="S1345" s="882"/>
      <c r="T1345" s="882"/>
      <c r="U1345" s="882"/>
      <c r="V1345" s="882"/>
      <c r="W1345" s="882"/>
      <c r="X1345" s="882"/>
      <c r="Y1345" s="882"/>
    </row>
    <row r="1346" spans="1:25" x14ac:dyDescent="0.2">
      <c r="A1346" s="881"/>
      <c r="B1346" s="881"/>
      <c r="C1346" s="881"/>
      <c r="D1346" s="881"/>
      <c r="E1346" s="881"/>
      <c r="R1346" s="882"/>
      <c r="S1346" s="882"/>
      <c r="T1346" s="882"/>
      <c r="U1346" s="882"/>
      <c r="V1346" s="882"/>
      <c r="W1346" s="882"/>
      <c r="X1346" s="882"/>
      <c r="Y1346" s="882"/>
    </row>
    <row r="1347" spans="1:25" x14ac:dyDescent="0.2">
      <c r="A1347" s="881"/>
      <c r="B1347" s="881"/>
      <c r="C1347" s="881"/>
      <c r="D1347" s="881"/>
      <c r="E1347" s="881"/>
      <c r="R1347" s="882"/>
      <c r="S1347" s="882"/>
      <c r="T1347" s="882"/>
      <c r="U1347" s="882"/>
      <c r="V1347" s="882"/>
      <c r="W1347" s="882"/>
      <c r="X1347" s="882"/>
      <c r="Y1347" s="882"/>
    </row>
    <row r="1348" spans="1:25" x14ac:dyDescent="0.2">
      <c r="A1348" s="881"/>
      <c r="B1348" s="881"/>
      <c r="C1348" s="881"/>
      <c r="D1348" s="881"/>
      <c r="E1348" s="881"/>
      <c r="R1348" s="882"/>
      <c r="S1348" s="882"/>
      <c r="T1348" s="882"/>
      <c r="U1348" s="882"/>
      <c r="V1348" s="882"/>
      <c r="W1348" s="882"/>
      <c r="X1348" s="882"/>
      <c r="Y1348" s="882"/>
    </row>
    <row r="1349" spans="1:25" x14ac:dyDescent="0.2">
      <c r="A1349" s="881"/>
      <c r="B1349" s="881"/>
      <c r="C1349" s="881"/>
      <c r="D1349" s="881"/>
      <c r="E1349" s="881"/>
      <c r="R1349" s="882"/>
      <c r="S1349" s="882"/>
      <c r="T1349" s="882"/>
      <c r="U1349" s="882"/>
      <c r="V1349" s="882"/>
      <c r="W1349" s="882"/>
      <c r="X1349" s="882"/>
      <c r="Y1349" s="882"/>
    </row>
    <row r="1350" spans="1:25" x14ac:dyDescent="0.2">
      <c r="A1350" s="881"/>
      <c r="B1350" s="881"/>
      <c r="C1350" s="881"/>
      <c r="D1350" s="881"/>
      <c r="E1350" s="881"/>
      <c r="R1350" s="882"/>
      <c r="S1350" s="882"/>
      <c r="T1350" s="882"/>
      <c r="U1350" s="882"/>
      <c r="V1350" s="882"/>
      <c r="W1350" s="882"/>
      <c r="X1350" s="882"/>
      <c r="Y1350" s="882"/>
    </row>
    <row r="1351" spans="1:25" x14ac:dyDescent="0.2">
      <c r="A1351" s="881"/>
      <c r="B1351" s="881"/>
      <c r="C1351" s="881"/>
      <c r="D1351" s="881"/>
      <c r="E1351" s="881"/>
      <c r="R1351" s="882"/>
      <c r="S1351" s="882"/>
      <c r="T1351" s="882"/>
      <c r="U1351" s="882"/>
      <c r="V1351" s="882"/>
      <c r="W1351" s="882"/>
      <c r="X1351" s="882"/>
      <c r="Y1351" s="882"/>
    </row>
    <row r="1352" spans="1:25" x14ac:dyDescent="0.2">
      <c r="A1352" s="881"/>
      <c r="B1352" s="881"/>
      <c r="C1352" s="881"/>
      <c r="D1352" s="881"/>
      <c r="E1352" s="881"/>
      <c r="R1352" s="882"/>
      <c r="S1352" s="882"/>
      <c r="T1352" s="882"/>
      <c r="U1352" s="882"/>
      <c r="V1352" s="882"/>
      <c r="W1352" s="882"/>
      <c r="X1352" s="882"/>
      <c r="Y1352" s="882"/>
    </row>
    <row r="1353" spans="1:25" x14ac:dyDescent="0.2">
      <c r="A1353" s="881"/>
      <c r="B1353" s="881"/>
      <c r="C1353" s="881"/>
      <c r="D1353" s="881"/>
      <c r="E1353" s="881"/>
      <c r="R1353" s="882"/>
      <c r="S1353" s="882"/>
      <c r="T1353" s="882"/>
      <c r="U1353" s="882"/>
      <c r="V1353" s="882"/>
      <c r="W1353" s="882"/>
      <c r="X1353" s="882"/>
      <c r="Y1353" s="882"/>
    </row>
    <row r="1354" spans="1:25" x14ac:dyDescent="0.2">
      <c r="A1354" s="881"/>
      <c r="B1354" s="881"/>
      <c r="C1354" s="881"/>
      <c r="D1354" s="881"/>
      <c r="E1354" s="881"/>
      <c r="R1354" s="882"/>
      <c r="S1354" s="882"/>
      <c r="T1354" s="882"/>
      <c r="U1354" s="882"/>
      <c r="V1354" s="882"/>
      <c r="W1354" s="882"/>
      <c r="X1354" s="882"/>
      <c r="Y1354" s="882"/>
    </row>
    <row r="1355" spans="1:25" x14ac:dyDescent="0.2">
      <c r="A1355" s="881"/>
      <c r="B1355" s="881"/>
      <c r="C1355" s="881"/>
      <c r="D1355" s="881"/>
      <c r="E1355" s="881"/>
      <c r="R1355" s="882"/>
      <c r="S1355" s="882"/>
      <c r="T1355" s="882"/>
      <c r="U1355" s="882"/>
      <c r="V1355" s="882"/>
      <c r="W1355" s="882"/>
      <c r="X1355" s="882"/>
      <c r="Y1355" s="882"/>
    </row>
    <row r="1356" spans="1:25" x14ac:dyDescent="0.2">
      <c r="A1356" s="881"/>
      <c r="B1356" s="881"/>
      <c r="C1356" s="881"/>
      <c r="D1356" s="881"/>
      <c r="E1356" s="881"/>
      <c r="R1356" s="882"/>
      <c r="S1356" s="882"/>
      <c r="T1356" s="882"/>
      <c r="U1356" s="882"/>
      <c r="V1356" s="882"/>
      <c r="W1356" s="882"/>
      <c r="X1356" s="882"/>
      <c r="Y1356" s="882"/>
    </row>
    <row r="1357" spans="1:25" x14ac:dyDescent="0.2">
      <c r="A1357" s="881"/>
      <c r="B1357" s="881"/>
      <c r="C1357" s="881"/>
      <c r="D1357" s="881"/>
      <c r="E1357" s="881"/>
      <c r="R1357" s="882"/>
      <c r="S1357" s="882"/>
      <c r="T1357" s="882"/>
      <c r="U1357" s="882"/>
      <c r="V1357" s="882"/>
      <c r="W1357" s="882"/>
      <c r="X1357" s="882"/>
      <c r="Y1357" s="882"/>
    </row>
    <row r="1358" spans="1:25" x14ac:dyDescent="0.2">
      <c r="A1358" s="881"/>
      <c r="B1358" s="881"/>
      <c r="C1358" s="881"/>
      <c r="D1358" s="881"/>
      <c r="E1358" s="881"/>
      <c r="R1358" s="882"/>
      <c r="S1358" s="882"/>
      <c r="T1358" s="882"/>
      <c r="U1358" s="882"/>
      <c r="V1358" s="882"/>
      <c r="W1358" s="882"/>
      <c r="X1358" s="882"/>
      <c r="Y1358" s="882"/>
    </row>
    <row r="1359" spans="1:25" x14ac:dyDescent="0.2">
      <c r="A1359" s="881"/>
      <c r="B1359" s="881"/>
      <c r="C1359" s="881"/>
      <c r="D1359" s="881"/>
      <c r="E1359" s="881"/>
      <c r="R1359" s="882"/>
      <c r="S1359" s="882"/>
      <c r="T1359" s="882"/>
      <c r="U1359" s="882"/>
      <c r="V1359" s="882"/>
      <c r="W1359" s="882"/>
      <c r="X1359" s="882"/>
      <c r="Y1359" s="882"/>
    </row>
    <row r="1360" spans="1:25" x14ac:dyDescent="0.2">
      <c r="A1360" s="881"/>
      <c r="B1360" s="881"/>
      <c r="C1360" s="881"/>
      <c r="D1360" s="881"/>
      <c r="E1360" s="881"/>
      <c r="R1360" s="882"/>
      <c r="S1360" s="882"/>
      <c r="T1360" s="882"/>
      <c r="U1360" s="882"/>
      <c r="V1360" s="882"/>
      <c r="W1360" s="882"/>
      <c r="X1360" s="882"/>
      <c r="Y1360" s="882"/>
    </row>
    <row r="1361" spans="1:25" x14ac:dyDescent="0.2">
      <c r="A1361" s="881"/>
      <c r="B1361" s="881"/>
      <c r="C1361" s="881"/>
      <c r="D1361" s="881"/>
      <c r="E1361" s="881"/>
      <c r="R1361" s="882"/>
      <c r="S1361" s="882"/>
      <c r="T1361" s="882"/>
      <c r="U1361" s="882"/>
      <c r="V1361" s="882"/>
      <c r="W1361" s="882"/>
      <c r="X1361" s="882"/>
      <c r="Y1361" s="882"/>
    </row>
    <row r="1362" spans="1:25" x14ac:dyDescent="0.2">
      <c r="A1362" s="881"/>
      <c r="B1362" s="881"/>
      <c r="C1362" s="881"/>
      <c r="D1362" s="881"/>
      <c r="E1362" s="881"/>
      <c r="R1362" s="882"/>
      <c r="S1362" s="882"/>
      <c r="T1362" s="882"/>
      <c r="U1362" s="882"/>
      <c r="V1362" s="882"/>
      <c r="W1362" s="882"/>
      <c r="X1362" s="882"/>
      <c r="Y1362" s="882"/>
    </row>
    <row r="1363" spans="1:25" x14ac:dyDescent="0.2">
      <c r="A1363" s="881"/>
      <c r="B1363" s="881"/>
      <c r="C1363" s="881"/>
      <c r="D1363" s="881"/>
      <c r="E1363" s="881"/>
      <c r="R1363" s="882"/>
      <c r="S1363" s="882"/>
      <c r="T1363" s="882"/>
      <c r="U1363" s="882"/>
      <c r="V1363" s="882"/>
      <c r="W1363" s="882"/>
      <c r="X1363" s="882"/>
      <c r="Y1363" s="882"/>
    </row>
    <row r="1364" spans="1:25" x14ac:dyDescent="0.2">
      <c r="A1364" s="881"/>
      <c r="B1364" s="881"/>
      <c r="C1364" s="881"/>
      <c r="D1364" s="881"/>
      <c r="E1364" s="881"/>
      <c r="R1364" s="882"/>
      <c r="S1364" s="882"/>
      <c r="T1364" s="882"/>
      <c r="U1364" s="882"/>
      <c r="V1364" s="882"/>
      <c r="W1364" s="882"/>
      <c r="X1364" s="882"/>
      <c r="Y1364" s="882"/>
    </row>
    <row r="1365" spans="1:25" x14ac:dyDescent="0.2">
      <c r="A1365" s="881"/>
      <c r="B1365" s="881"/>
      <c r="C1365" s="881"/>
      <c r="D1365" s="881"/>
      <c r="E1365" s="881"/>
      <c r="R1365" s="882"/>
      <c r="S1365" s="882"/>
      <c r="T1365" s="882"/>
      <c r="U1365" s="882"/>
      <c r="V1365" s="882"/>
      <c r="W1365" s="882"/>
      <c r="X1365" s="882"/>
      <c r="Y1365" s="882"/>
    </row>
    <row r="1366" spans="1:25" x14ac:dyDescent="0.2">
      <c r="A1366" s="881"/>
      <c r="B1366" s="881"/>
      <c r="C1366" s="881"/>
      <c r="D1366" s="881"/>
      <c r="E1366" s="881"/>
      <c r="R1366" s="882"/>
      <c r="S1366" s="882"/>
      <c r="T1366" s="882"/>
      <c r="U1366" s="882"/>
      <c r="V1366" s="882"/>
      <c r="W1366" s="882"/>
      <c r="X1366" s="882"/>
      <c r="Y1366" s="882"/>
    </row>
    <row r="1367" spans="1:25" x14ac:dyDescent="0.2">
      <c r="A1367" s="881"/>
      <c r="B1367" s="881"/>
      <c r="C1367" s="881"/>
      <c r="D1367" s="881"/>
      <c r="E1367" s="881"/>
      <c r="R1367" s="882"/>
      <c r="S1367" s="882"/>
      <c r="T1367" s="882"/>
      <c r="U1367" s="882"/>
      <c r="V1367" s="882"/>
      <c r="W1367" s="882"/>
      <c r="X1367" s="882"/>
      <c r="Y1367" s="882"/>
    </row>
    <row r="1368" spans="1:25" x14ac:dyDescent="0.2">
      <c r="A1368" s="881"/>
      <c r="B1368" s="881"/>
      <c r="C1368" s="881"/>
      <c r="D1368" s="881"/>
      <c r="E1368" s="881"/>
      <c r="R1368" s="882"/>
      <c r="S1368" s="882"/>
      <c r="T1368" s="882"/>
      <c r="U1368" s="882"/>
      <c r="V1368" s="882"/>
      <c r="W1368" s="882"/>
      <c r="X1368" s="882"/>
      <c r="Y1368" s="882"/>
    </row>
    <row r="1369" spans="1:25" x14ac:dyDescent="0.2">
      <c r="A1369" s="881"/>
      <c r="B1369" s="881"/>
      <c r="C1369" s="881"/>
      <c r="D1369" s="881"/>
      <c r="E1369" s="881"/>
      <c r="R1369" s="882"/>
      <c r="S1369" s="882"/>
      <c r="T1369" s="882"/>
      <c r="U1369" s="882"/>
      <c r="V1369" s="882"/>
      <c r="W1369" s="882"/>
      <c r="X1369" s="882"/>
      <c r="Y1369" s="882"/>
    </row>
    <row r="1370" spans="1:25" x14ac:dyDescent="0.2">
      <c r="A1370" s="881"/>
      <c r="B1370" s="881"/>
      <c r="C1370" s="881"/>
      <c r="D1370" s="881"/>
      <c r="E1370" s="881"/>
      <c r="R1370" s="882"/>
      <c r="S1370" s="882"/>
      <c r="T1370" s="882"/>
      <c r="U1370" s="882"/>
      <c r="V1370" s="882"/>
      <c r="W1370" s="882"/>
      <c r="X1370" s="882"/>
      <c r="Y1370" s="882"/>
    </row>
    <row r="1371" spans="1:25" x14ac:dyDescent="0.2">
      <c r="A1371" s="881"/>
      <c r="B1371" s="881"/>
      <c r="C1371" s="881"/>
      <c r="D1371" s="881"/>
      <c r="E1371" s="881"/>
      <c r="R1371" s="882"/>
      <c r="S1371" s="882"/>
      <c r="T1371" s="882"/>
      <c r="U1371" s="882"/>
      <c r="V1371" s="882"/>
      <c r="W1371" s="882"/>
      <c r="X1371" s="882"/>
      <c r="Y1371" s="882"/>
    </row>
    <row r="1372" spans="1:25" x14ac:dyDescent="0.2">
      <c r="A1372" s="881"/>
      <c r="B1372" s="881"/>
      <c r="C1372" s="881"/>
      <c r="D1372" s="881"/>
      <c r="E1372" s="881"/>
      <c r="R1372" s="882"/>
      <c r="S1372" s="882"/>
      <c r="T1372" s="882"/>
      <c r="U1372" s="882"/>
      <c r="V1372" s="882"/>
      <c r="W1372" s="882"/>
      <c r="X1372" s="882"/>
      <c r="Y1372" s="882"/>
    </row>
    <row r="1373" spans="1:25" x14ac:dyDescent="0.2">
      <c r="A1373" s="881"/>
      <c r="B1373" s="881"/>
      <c r="C1373" s="881"/>
      <c r="D1373" s="881"/>
      <c r="E1373" s="881"/>
      <c r="R1373" s="882"/>
      <c r="S1373" s="882"/>
      <c r="T1373" s="882"/>
      <c r="U1373" s="882"/>
      <c r="V1373" s="882"/>
      <c r="W1373" s="882"/>
      <c r="X1373" s="882"/>
      <c r="Y1373" s="882"/>
    </row>
    <row r="1374" spans="1:25" x14ac:dyDescent="0.2">
      <c r="A1374" s="881"/>
      <c r="B1374" s="881"/>
      <c r="C1374" s="881"/>
      <c r="D1374" s="881"/>
      <c r="E1374" s="881"/>
      <c r="R1374" s="882"/>
      <c r="S1374" s="882"/>
      <c r="T1374" s="882"/>
      <c r="U1374" s="882"/>
      <c r="V1374" s="882"/>
      <c r="W1374" s="882"/>
      <c r="X1374" s="882"/>
      <c r="Y1374" s="882"/>
    </row>
    <row r="1375" spans="1:25" x14ac:dyDescent="0.2">
      <c r="A1375" s="881"/>
      <c r="B1375" s="881"/>
      <c r="C1375" s="881"/>
      <c r="D1375" s="881"/>
      <c r="E1375" s="881"/>
      <c r="R1375" s="882"/>
      <c r="S1375" s="882"/>
      <c r="T1375" s="882"/>
      <c r="U1375" s="882"/>
      <c r="V1375" s="882"/>
      <c r="W1375" s="882"/>
      <c r="X1375" s="882"/>
      <c r="Y1375" s="882"/>
    </row>
    <row r="1376" spans="1:25" x14ac:dyDescent="0.2">
      <c r="A1376" s="881"/>
      <c r="B1376" s="881"/>
      <c r="C1376" s="881"/>
      <c r="D1376" s="881"/>
      <c r="E1376" s="881"/>
      <c r="R1376" s="882"/>
      <c r="S1376" s="882"/>
      <c r="T1376" s="882"/>
      <c r="U1376" s="882"/>
      <c r="V1376" s="882"/>
      <c r="W1376" s="882"/>
      <c r="X1376" s="882"/>
      <c r="Y1376" s="882"/>
    </row>
    <row r="1377" spans="1:25" x14ac:dyDescent="0.2">
      <c r="A1377" s="881"/>
      <c r="B1377" s="881"/>
      <c r="C1377" s="881"/>
      <c r="D1377" s="881"/>
      <c r="E1377" s="881"/>
      <c r="R1377" s="882"/>
      <c r="S1377" s="882"/>
      <c r="T1377" s="882"/>
      <c r="U1377" s="882"/>
      <c r="V1377" s="882"/>
      <c r="W1377" s="882"/>
      <c r="X1377" s="882"/>
      <c r="Y1377" s="882"/>
    </row>
    <row r="1378" spans="1:25" x14ac:dyDescent="0.2">
      <c r="A1378" s="881"/>
      <c r="B1378" s="881"/>
      <c r="C1378" s="881"/>
      <c r="D1378" s="881"/>
      <c r="E1378" s="881"/>
      <c r="R1378" s="882"/>
      <c r="S1378" s="882"/>
      <c r="T1378" s="882"/>
      <c r="U1378" s="882"/>
      <c r="V1378" s="882"/>
      <c r="W1378" s="882"/>
      <c r="X1378" s="882"/>
      <c r="Y1378" s="882"/>
    </row>
    <row r="1379" spans="1:25" x14ac:dyDescent="0.2">
      <c r="A1379" s="881"/>
      <c r="B1379" s="881"/>
      <c r="C1379" s="881"/>
      <c r="D1379" s="881"/>
      <c r="E1379" s="881"/>
      <c r="R1379" s="882"/>
      <c r="S1379" s="882"/>
      <c r="T1379" s="882"/>
      <c r="U1379" s="882"/>
      <c r="V1379" s="882"/>
      <c r="W1379" s="882"/>
      <c r="X1379" s="882"/>
      <c r="Y1379" s="882"/>
    </row>
    <row r="1380" spans="1:25" x14ac:dyDescent="0.2">
      <c r="A1380" s="881"/>
      <c r="B1380" s="881"/>
      <c r="C1380" s="881"/>
      <c r="D1380" s="881"/>
      <c r="E1380" s="881"/>
      <c r="R1380" s="882"/>
      <c r="S1380" s="882"/>
      <c r="T1380" s="882"/>
      <c r="U1380" s="882"/>
      <c r="V1380" s="882"/>
      <c r="W1380" s="882"/>
      <c r="X1380" s="882"/>
      <c r="Y1380" s="882"/>
    </row>
    <row r="1381" spans="1:25" x14ac:dyDescent="0.2">
      <c r="A1381" s="881"/>
      <c r="B1381" s="881"/>
      <c r="C1381" s="881"/>
      <c r="D1381" s="881"/>
      <c r="E1381" s="881"/>
      <c r="R1381" s="882"/>
      <c r="S1381" s="882"/>
      <c r="T1381" s="882"/>
      <c r="U1381" s="882"/>
      <c r="V1381" s="882"/>
      <c r="W1381" s="882"/>
      <c r="X1381" s="882"/>
      <c r="Y1381" s="882"/>
    </row>
    <row r="1382" spans="1:25" x14ac:dyDescent="0.2">
      <c r="A1382" s="881"/>
      <c r="B1382" s="881"/>
      <c r="C1382" s="881"/>
      <c r="D1382" s="881"/>
      <c r="E1382" s="881"/>
      <c r="R1382" s="882"/>
      <c r="S1382" s="882"/>
      <c r="T1382" s="882"/>
      <c r="U1382" s="882"/>
      <c r="V1382" s="882"/>
      <c r="W1382" s="882"/>
      <c r="X1382" s="882"/>
      <c r="Y1382" s="882"/>
    </row>
    <row r="1383" spans="1:25" x14ac:dyDescent="0.2">
      <c r="A1383" s="881"/>
      <c r="B1383" s="881"/>
      <c r="C1383" s="881"/>
      <c r="D1383" s="881"/>
      <c r="E1383" s="881"/>
      <c r="R1383" s="882"/>
      <c r="S1383" s="882"/>
      <c r="T1383" s="882"/>
      <c r="U1383" s="882"/>
      <c r="V1383" s="882"/>
      <c r="W1383" s="882"/>
      <c r="X1383" s="882"/>
      <c r="Y1383" s="882"/>
    </row>
    <row r="1384" spans="1:25" x14ac:dyDescent="0.2">
      <c r="A1384" s="881"/>
      <c r="B1384" s="881"/>
      <c r="C1384" s="881"/>
      <c r="D1384" s="881"/>
      <c r="E1384" s="881"/>
      <c r="R1384" s="882"/>
      <c r="S1384" s="882"/>
      <c r="T1384" s="882"/>
      <c r="U1384" s="882"/>
      <c r="V1384" s="882"/>
      <c r="W1384" s="882"/>
      <c r="X1384" s="882"/>
      <c r="Y1384" s="882"/>
    </row>
    <row r="1385" spans="1:25" x14ac:dyDescent="0.2">
      <c r="A1385" s="881"/>
      <c r="B1385" s="881"/>
      <c r="C1385" s="881"/>
      <c r="D1385" s="881"/>
      <c r="E1385" s="881"/>
      <c r="R1385" s="882"/>
      <c r="S1385" s="882"/>
      <c r="T1385" s="882"/>
      <c r="U1385" s="882"/>
      <c r="V1385" s="882"/>
      <c r="W1385" s="882"/>
      <c r="X1385" s="882"/>
      <c r="Y1385" s="882"/>
    </row>
    <row r="1386" spans="1:25" x14ac:dyDescent="0.2">
      <c r="A1386" s="881"/>
      <c r="B1386" s="881"/>
      <c r="C1386" s="881"/>
      <c r="D1386" s="881"/>
      <c r="E1386" s="881"/>
      <c r="R1386" s="882"/>
      <c r="S1386" s="882"/>
      <c r="T1386" s="882"/>
      <c r="U1386" s="882"/>
      <c r="V1386" s="882"/>
      <c r="W1386" s="882"/>
      <c r="X1386" s="882"/>
      <c r="Y1386" s="882"/>
    </row>
    <row r="1387" spans="1:25" x14ac:dyDescent="0.2">
      <c r="A1387" s="881"/>
      <c r="B1387" s="881"/>
      <c r="C1387" s="881"/>
      <c r="D1387" s="881"/>
      <c r="E1387" s="881"/>
      <c r="R1387" s="882"/>
      <c r="S1387" s="882"/>
      <c r="T1387" s="882"/>
      <c r="U1387" s="882"/>
      <c r="V1387" s="882"/>
      <c r="W1387" s="882"/>
      <c r="X1387" s="882"/>
      <c r="Y1387" s="882"/>
    </row>
    <row r="1388" spans="1:25" x14ac:dyDescent="0.2">
      <c r="A1388" s="881"/>
      <c r="B1388" s="881"/>
      <c r="C1388" s="881"/>
      <c r="D1388" s="881"/>
      <c r="E1388" s="881"/>
      <c r="R1388" s="882"/>
      <c r="S1388" s="882"/>
      <c r="T1388" s="882"/>
      <c r="U1388" s="882"/>
      <c r="V1388" s="882"/>
      <c r="W1388" s="882"/>
      <c r="X1388" s="882"/>
      <c r="Y1388" s="882"/>
    </row>
    <row r="1389" spans="1:25" x14ac:dyDescent="0.2">
      <c r="A1389" s="881"/>
      <c r="B1389" s="881"/>
      <c r="C1389" s="881"/>
      <c r="D1389" s="881"/>
      <c r="E1389" s="881"/>
      <c r="R1389" s="882"/>
      <c r="S1389" s="882"/>
      <c r="T1389" s="882"/>
      <c r="U1389" s="882"/>
      <c r="V1389" s="882"/>
      <c r="W1389" s="882"/>
      <c r="X1389" s="882"/>
      <c r="Y1389" s="882"/>
    </row>
    <row r="1390" spans="1:25" x14ac:dyDescent="0.2">
      <c r="A1390" s="881"/>
      <c r="B1390" s="881"/>
      <c r="C1390" s="881"/>
      <c r="D1390" s="881"/>
      <c r="E1390" s="881"/>
      <c r="R1390" s="882"/>
      <c r="S1390" s="882"/>
      <c r="T1390" s="882"/>
      <c r="U1390" s="882"/>
      <c r="V1390" s="882"/>
      <c r="W1390" s="882"/>
      <c r="X1390" s="882"/>
      <c r="Y1390" s="882"/>
    </row>
    <row r="1391" spans="1:25" x14ac:dyDescent="0.2">
      <c r="A1391" s="881"/>
      <c r="B1391" s="881"/>
      <c r="C1391" s="881"/>
      <c r="D1391" s="881"/>
      <c r="E1391" s="881"/>
      <c r="R1391" s="882"/>
      <c r="S1391" s="882"/>
      <c r="T1391" s="882"/>
      <c r="U1391" s="882"/>
      <c r="V1391" s="882"/>
      <c r="W1391" s="882"/>
      <c r="X1391" s="882"/>
      <c r="Y1391" s="882"/>
    </row>
    <row r="1392" spans="1:25" x14ac:dyDescent="0.2">
      <c r="A1392" s="881"/>
      <c r="B1392" s="881"/>
      <c r="C1392" s="881"/>
      <c r="D1392" s="881"/>
      <c r="E1392" s="881"/>
      <c r="R1392" s="882"/>
      <c r="S1392" s="882"/>
      <c r="T1392" s="882"/>
      <c r="U1392" s="882"/>
      <c r="V1392" s="882"/>
      <c r="W1392" s="882"/>
      <c r="X1392" s="882"/>
      <c r="Y1392" s="882"/>
    </row>
    <row r="1393" spans="1:25" x14ac:dyDescent="0.2">
      <c r="A1393" s="881"/>
      <c r="B1393" s="881"/>
      <c r="C1393" s="881"/>
      <c r="D1393" s="881"/>
      <c r="E1393" s="881"/>
      <c r="R1393" s="882"/>
      <c r="S1393" s="882"/>
      <c r="T1393" s="882"/>
      <c r="U1393" s="882"/>
      <c r="V1393" s="882"/>
      <c r="W1393" s="882"/>
      <c r="X1393" s="882"/>
      <c r="Y1393" s="882"/>
    </row>
    <row r="1394" spans="1:25" x14ac:dyDescent="0.2">
      <c r="A1394" s="881"/>
      <c r="B1394" s="881"/>
      <c r="C1394" s="881"/>
      <c r="D1394" s="881"/>
      <c r="E1394" s="881"/>
      <c r="R1394" s="882"/>
      <c r="S1394" s="882"/>
      <c r="T1394" s="882"/>
      <c r="U1394" s="882"/>
      <c r="V1394" s="882"/>
      <c r="W1394" s="882"/>
      <c r="X1394" s="882"/>
      <c r="Y1394" s="882"/>
    </row>
    <row r="1395" spans="1:25" x14ac:dyDescent="0.2">
      <c r="A1395" s="881"/>
      <c r="B1395" s="881"/>
      <c r="C1395" s="881"/>
      <c r="D1395" s="881"/>
      <c r="E1395" s="881"/>
      <c r="R1395" s="882"/>
      <c r="S1395" s="882"/>
      <c r="T1395" s="882"/>
      <c r="U1395" s="882"/>
      <c r="V1395" s="882"/>
      <c r="W1395" s="882"/>
      <c r="X1395" s="882"/>
      <c r="Y1395" s="882"/>
    </row>
    <row r="1396" spans="1:25" x14ac:dyDescent="0.2">
      <c r="A1396" s="881"/>
      <c r="B1396" s="881"/>
      <c r="C1396" s="881"/>
      <c r="D1396" s="881"/>
      <c r="E1396" s="881"/>
      <c r="R1396" s="882"/>
      <c r="S1396" s="882"/>
      <c r="T1396" s="882"/>
      <c r="U1396" s="882"/>
      <c r="V1396" s="882"/>
      <c r="W1396" s="882"/>
      <c r="X1396" s="882"/>
      <c r="Y1396" s="882"/>
    </row>
    <row r="1397" spans="1:25" x14ac:dyDescent="0.2">
      <c r="A1397" s="881"/>
      <c r="B1397" s="881"/>
      <c r="C1397" s="881"/>
      <c r="D1397" s="881"/>
      <c r="E1397" s="881"/>
      <c r="R1397" s="882"/>
      <c r="S1397" s="882"/>
      <c r="T1397" s="882"/>
      <c r="U1397" s="882"/>
      <c r="V1397" s="882"/>
      <c r="W1397" s="882"/>
      <c r="X1397" s="882"/>
      <c r="Y1397" s="882"/>
    </row>
    <row r="1398" spans="1:25" x14ac:dyDescent="0.2">
      <c r="A1398" s="881"/>
      <c r="B1398" s="881"/>
      <c r="C1398" s="881"/>
      <c r="D1398" s="881"/>
      <c r="E1398" s="881"/>
      <c r="R1398" s="882"/>
      <c r="S1398" s="882"/>
      <c r="T1398" s="882"/>
      <c r="U1398" s="882"/>
      <c r="V1398" s="882"/>
      <c r="W1398" s="882"/>
      <c r="X1398" s="882"/>
      <c r="Y1398" s="882"/>
    </row>
    <row r="1399" spans="1:25" x14ac:dyDescent="0.2">
      <c r="A1399" s="881"/>
      <c r="B1399" s="881"/>
      <c r="C1399" s="881"/>
      <c r="D1399" s="881"/>
      <c r="E1399" s="881"/>
      <c r="R1399" s="882"/>
      <c r="S1399" s="882"/>
      <c r="T1399" s="882"/>
      <c r="U1399" s="882"/>
      <c r="V1399" s="882"/>
      <c r="W1399" s="882"/>
      <c r="X1399" s="882"/>
      <c r="Y1399" s="882"/>
    </row>
    <row r="1400" spans="1:25" x14ac:dyDescent="0.2">
      <c r="A1400" s="881"/>
      <c r="B1400" s="881"/>
      <c r="C1400" s="881"/>
      <c r="D1400" s="881"/>
      <c r="E1400" s="881"/>
      <c r="R1400" s="882"/>
      <c r="S1400" s="882"/>
      <c r="T1400" s="882"/>
      <c r="U1400" s="882"/>
      <c r="V1400" s="882"/>
      <c r="W1400" s="882"/>
      <c r="X1400" s="882"/>
      <c r="Y1400" s="882"/>
    </row>
    <row r="1401" spans="1:25" x14ac:dyDescent="0.2">
      <c r="A1401" s="881"/>
      <c r="B1401" s="881"/>
      <c r="C1401" s="881"/>
      <c r="D1401" s="881"/>
      <c r="E1401" s="881"/>
      <c r="R1401" s="882"/>
      <c r="S1401" s="882"/>
      <c r="T1401" s="882"/>
      <c r="U1401" s="882"/>
      <c r="V1401" s="882"/>
      <c r="W1401" s="882"/>
      <c r="X1401" s="882"/>
      <c r="Y1401" s="882"/>
    </row>
    <row r="1402" spans="1:25" x14ac:dyDescent="0.2">
      <c r="A1402" s="881"/>
      <c r="B1402" s="881"/>
      <c r="C1402" s="881"/>
      <c r="D1402" s="881"/>
      <c r="E1402" s="881"/>
      <c r="R1402" s="882"/>
      <c r="S1402" s="882"/>
      <c r="T1402" s="882"/>
      <c r="U1402" s="882"/>
      <c r="V1402" s="882"/>
      <c r="W1402" s="882"/>
      <c r="X1402" s="882"/>
      <c r="Y1402" s="882"/>
    </row>
    <row r="1403" spans="1:25" x14ac:dyDescent="0.2">
      <c r="A1403" s="881"/>
      <c r="B1403" s="881"/>
      <c r="C1403" s="881"/>
      <c r="D1403" s="881"/>
      <c r="E1403" s="881"/>
      <c r="R1403" s="882"/>
      <c r="S1403" s="882"/>
      <c r="T1403" s="882"/>
      <c r="U1403" s="882"/>
      <c r="V1403" s="882"/>
      <c r="W1403" s="882"/>
      <c r="X1403" s="882"/>
      <c r="Y1403" s="882"/>
    </row>
    <row r="1404" spans="1:25" x14ac:dyDescent="0.2">
      <c r="A1404" s="881"/>
      <c r="B1404" s="881"/>
      <c r="C1404" s="881"/>
      <c r="D1404" s="881"/>
      <c r="E1404" s="881"/>
      <c r="R1404" s="882"/>
      <c r="S1404" s="882"/>
      <c r="T1404" s="882"/>
      <c r="U1404" s="882"/>
      <c r="V1404" s="882"/>
      <c r="W1404" s="882"/>
      <c r="X1404" s="882"/>
      <c r="Y1404" s="882"/>
    </row>
    <row r="1405" spans="1:25" x14ac:dyDescent="0.2">
      <c r="A1405" s="881"/>
      <c r="B1405" s="881"/>
      <c r="C1405" s="881"/>
      <c r="D1405" s="881"/>
      <c r="E1405" s="881"/>
      <c r="R1405" s="882"/>
      <c r="S1405" s="882"/>
      <c r="T1405" s="882"/>
      <c r="U1405" s="882"/>
      <c r="V1405" s="882"/>
      <c r="W1405" s="882"/>
      <c r="X1405" s="882"/>
      <c r="Y1405" s="882"/>
    </row>
    <row r="1406" spans="1:25" x14ac:dyDescent="0.2">
      <c r="A1406" s="881"/>
      <c r="B1406" s="881"/>
      <c r="C1406" s="881"/>
      <c r="D1406" s="881"/>
      <c r="E1406" s="881"/>
      <c r="R1406" s="882"/>
      <c r="S1406" s="882"/>
      <c r="T1406" s="882"/>
      <c r="U1406" s="882"/>
      <c r="V1406" s="882"/>
      <c r="W1406" s="882"/>
      <c r="X1406" s="882"/>
      <c r="Y1406" s="882"/>
    </row>
    <row r="1407" spans="1:25" x14ac:dyDescent="0.2">
      <c r="A1407" s="881"/>
      <c r="B1407" s="881"/>
      <c r="C1407" s="881"/>
      <c r="D1407" s="881"/>
      <c r="E1407" s="881"/>
      <c r="R1407" s="882"/>
      <c r="S1407" s="882"/>
      <c r="T1407" s="882"/>
      <c r="U1407" s="882"/>
      <c r="V1407" s="882"/>
      <c r="W1407" s="882"/>
      <c r="X1407" s="882"/>
      <c r="Y1407" s="882"/>
    </row>
    <row r="1408" spans="1:25" x14ac:dyDescent="0.2">
      <c r="A1408" s="881"/>
      <c r="B1408" s="881"/>
      <c r="C1408" s="881"/>
      <c r="D1408" s="881"/>
      <c r="E1408" s="881"/>
      <c r="R1408" s="882"/>
      <c r="S1408" s="882"/>
      <c r="T1408" s="882"/>
      <c r="U1408" s="882"/>
      <c r="V1408" s="882"/>
      <c r="W1408" s="882"/>
      <c r="X1408" s="882"/>
      <c r="Y1408" s="882"/>
    </row>
    <row r="1409" spans="1:25" x14ac:dyDescent="0.2">
      <c r="A1409" s="881"/>
      <c r="B1409" s="881"/>
      <c r="C1409" s="881"/>
      <c r="D1409" s="881"/>
      <c r="E1409" s="881"/>
      <c r="R1409" s="882"/>
      <c r="S1409" s="882"/>
      <c r="T1409" s="882"/>
      <c r="U1409" s="882"/>
      <c r="V1409" s="882"/>
      <c r="W1409" s="882"/>
      <c r="X1409" s="882"/>
      <c r="Y1409" s="882"/>
    </row>
    <row r="1410" spans="1:25" x14ac:dyDescent="0.2">
      <c r="A1410" s="881"/>
      <c r="B1410" s="881"/>
      <c r="C1410" s="881"/>
      <c r="D1410" s="881"/>
      <c r="E1410" s="881"/>
      <c r="R1410" s="882"/>
      <c r="S1410" s="882"/>
      <c r="T1410" s="882"/>
      <c r="U1410" s="882"/>
      <c r="V1410" s="882"/>
      <c r="W1410" s="882"/>
      <c r="X1410" s="882"/>
      <c r="Y1410" s="882"/>
    </row>
    <row r="1411" spans="1:25" x14ac:dyDescent="0.2">
      <c r="A1411" s="881"/>
      <c r="B1411" s="881"/>
      <c r="C1411" s="881"/>
      <c r="D1411" s="881"/>
      <c r="E1411" s="881"/>
      <c r="R1411" s="882"/>
      <c r="S1411" s="882"/>
      <c r="T1411" s="882"/>
      <c r="U1411" s="882"/>
      <c r="V1411" s="882"/>
      <c r="W1411" s="882"/>
      <c r="X1411" s="882"/>
      <c r="Y1411" s="882"/>
    </row>
    <row r="1412" spans="1:25" x14ac:dyDescent="0.2">
      <c r="A1412" s="881"/>
      <c r="B1412" s="881"/>
      <c r="C1412" s="881"/>
      <c r="D1412" s="881"/>
      <c r="E1412" s="881"/>
      <c r="R1412" s="882"/>
      <c r="S1412" s="882"/>
      <c r="T1412" s="882"/>
      <c r="U1412" s="882"/>
      <c r="V1412" s="882"/>
      <c r="W1412" s="882"/>
      <c r="X1412" s="882"/>
      <c r="Y1412" s="882"/>
    </row>
    <row r="1413" spans="1:25" x14ac:dyDescent="0.2">
      <c r="A1413" s="881"/>
      <c r="B1413" s="881"/>
      <c r="C1413" s="881"/>
      <c r="D1413" s="881"/>
      <c r="E1413" s="881"/>
      <c r="R1413" s="882"/>
      <c r="S1413" s="882"/>
      <c r="T1413" s="882"/>
      <c r="U1413" s="882"/>
      <c r="V1413" s="882"/>
      <c r="W1413" s="882"/>
      <c r="X1413" s="882"/>
      <c r="Y1413" s="882"/>
    </row>
    <row r="1414" spans="1:25" x14ac:dyDescent="0.2">
      <c r="A1414" s="881"/>
      <c r="B1414" s="881"/>
      <c r="C1414" s="881"/>
      <c r="D1414" s="881"/>
      <c r="E1414" s="881"/>
      <c r="R1414" s="882"/>
      <c r="S1414" s="882"/>
      <c r="T1414" s="882"/>
      <c r="U1414" s="882"/>
      <c r="V1414" s="882"/>
      <c r="W1414" s="882"/>
      <c r="X1414" s="882"/>
      <c r="Y1414" s="882"/>
    </row>
    <row r="1415" spans="1:25" x14ac:dyDescent="0.2">
      <c r="A1415" s="881"/>
      <c r="B1415" s="881"/>
      <c r="C1415" s="881"/>
      <c r="D1415" s="881"/>
      <c r="E1415" s="881"/>
      <c r="R1415" s="882"/>
      <c r="S1415" s="882"/>
      <c r="T1415" s="882"/>
      <c r="U1415" s="882"/>
      <c r="V1415" s="882"/>
      <c r="W1415" s="882"/>
      <c r="X1415" s="882"/>
      <c r="Y1415" s="882"/>
    </row>
    <row r="1416" spans="1:25" x14ac:dyDescent="0.2">
      <c r="A1416" s="881"/>
      <c r="B1416" s="881"/>
      <c r="C1416" s="881"/>
      <c r="D1416" s="881"/>
      <c r="E1416" s="881"/>
      <c r="R1416" s="882"/>
      <c r="S1416" s="882"/>
      <c r="T1416" s="882"/>
      <c r="U1416" s="882"/>
      <c r="V1416" s="882"/>
      <c r="W1416" s="882"/>
      <c r="X1416" s="882"/>
      <c r="Y1416" s="882"/>
    </row>
    <row r="1417" spans="1:25" x14ac:dyDescent="0.2">
      <c r="A1417" s="881"/>
      <c r="B1417" s="881"/>
      <c r="C1417" s="881"/>
      <c r="D1417" s="881"/>
      <c r="E1417" s="881"/>
      <c r="R1417" s="882"/>
      <c r="S1417" s="882"/>
      <c r="T1417" s="882"/>
      <c r="U1417" s="882"/>
      <c r="V1417" s="882"/>
      <c r="W1417" s="882"/>
      <c r="X1417" s="882"/>
      <c r="Y1417" s="882"/>
    </row>
    <row r="1418" spans="1:25" x14ac:dyDescent="0.2">
      <c r="A1418" s="881"/>
      <c r="B1418" s="881"/>
      <c r="C1418" s="881"/>
      <c r="D1418" s="881"/>
      <c r="E1418" s="881"/>
      <c r="R1418" s="882"/>
      <c r="S1418" s="882"/>
      <c r="T1418" s="882"/>
      <c r="U1418" s="882"/>
      <c r="V1418" s="882"/>
      <c r="W1418" s="882"/>
      <c r="X1418" s="882"/>
      <c r="Y1418" s="882"/>
    </row>
    <row r="1419" spans="1:25" x14ac:dyDescent="0.2">
      <c r="A1419" s="881"/>
      <c r="B1419" s="881"/>
      <c r="C1419" s="881"/>
      <c r="D1419" s="881"/>
      <c r="E1419" s="881"/>
      <c r="R1419" s="882"/>
      <c r="S1419" s="882"/>
      <c r="T1419" s="882"/>
      <c r="U1419" s="882"/>
      <c r="V1419" s="882"/>
      <c r="W1419" s="882"/>
      <c r="X1419" s="882"/>
      <c r="Y1419" s="882"/>
    </row>
    <row r="1420" spans="1:25" x14ac:dyDescent="0.2">
      <c r="A1420" s="881"/>
      <c r="B1420" s="881"/>
      <c r="C1420" s="881"/>
      <c r="D1420" s="881"/>
      <c r="E1420" s="881"/>
      <c r="R1420" s="882"/>
      <c r="S1420" s="882"/>
      <c r="T1420" s="882"/>
      <c r="U1420" s="882"/>
      <c r="V1420" s="882"/>
      <c r="W1420" s="882"/>
      <c r="X1420" s="882"/>
      <c r="Y1420" s="882"/>
    </row>
    <row r="1421" spans="1:25" x14ac:dyDescent="0.2">
      <c r="A1421" s="881"/>
      <c r="B1421" s="881"/>
      <c r="C1421" s="881"/>
      <c r="D1421" s="881"/>
      <c r="E1421" s="881"/>
      <c r="R1421" s="882"/>
      <c r="S1421" s="882"/>
      <c r="T1421" s="882"/>
      <c r="U1421" s="882"/>
      <c r="V1421" s="882"/>
      <c r="W1421" s="882"/>
      <c r="X1421" s="882"/>
      <c r="Y1421" s="882"/>
    </row>
    <row r="1422" spans="1:25" x14ac:dyDescent="0.2">
      <c r="A1422" s="881"/>
      <c r="B1422" s="881"/>
      <c r="C1422" s="881"/>
      <c r="D1422" s="881"/>
      <c r="E1422" s="881"/>
      <c r="R1422" s="882"/>
      <c r="S1422" s="882"/>
      <c r="T1422" s="882"/>
      <c r="U1422" s="882"/>
      <c r="V1422" s="882"/>
      <c r="W1422" s="882"/>
      <c r="X1422" s="882"/>
      <c r="Y1422" s="882"/>
    </row>
    <row r="1423" spans="1:25" x14ac:dyDescent="0.2">
      <c r="A1423" s="881"/>
      <c r="B1423" s="881"/>
      <c r="C1423" s="881"/>
      <c r="D1423" s="881"/>
      <c r="E1423" s="881"/>
      <c r="R1423" s="882"/>
      <c r="S1423" s="882"/>
      <c r="T1423" s="882"/>
      <c r="U1423" s="882"/>
      <c r="V1423" s="882"/>
      <c r="W1423" s="882"/>
      <c r="X1423" s="882"/>
      <c r="Y1423" s="882"/>
    </row>
    <row r="1424" spans="1:25" x14ac:dyDescent="0.2">
      <c r="A1424" s="881"/>
      <c r="B1424" s="881"/>
      <c r="C1424" s="881"/>
      <c r="D1424" s="881"/>
      <c r="E1424" s="881"/>
      <c r="R1424" s="882"/>
      <c r="S1424" s="882"/>
      <c r="T1424" s="882"/>
      <c r="U1424" s="882"/>
      <c r="V1424" s="882"/>
      <c r="W1424" s="882"/>
      <c r="X1424" s="882"/>
      <c r="Y1424" s="882"/>
    </row>
    <row r="1425" spans="1:25" x14ac:dyDescent="0.2">
      <c r="A1425" s="881"/>
      <c r="B1425" s="881"/>
      <c r="C1425" s="881"/>
      <c r="D1425" s="881"/>
      <c r="E1425" s="881"/>
      <c r="R1425" s="882"/>
      <c r="S1425" s="882"/>
      <c r="T1425" s="882"/>
      <c r="U1425" s="882"/>
      <c r="V1425" s="882"/>
      <c r="W1425" s="882"/>
      <c r="X1425" s="882"/>
      <c r="Y1425" s="882"/>
    </row>
    <row r="1426" spans="1:25" x14ac:dyDescent="0.2">
      <c r="A1426" s="881"/>
      <c r="B1426" s="881"/>
      <c r="C1426" s="881"/>
      <c r="D1426" s="881"/>
      <c r="E1426" s="881"/>
      <c r="R1426" s="882"/>
      <c r="S1426" s="882"/>
      <c r="T1426" s="882"/>
      <c r="U1426" s="882"/>
      <c r="V1426" s="882"/>
      <c r="W1426" s="882"/>
      <c r="X1426" s="882"/>
      <c r="Y1426" s="882"/>
    </row>
    <row r="1427" spans="1:25" x14ac:dyDescent="0.2">
      <c r="A1427" s="881"/>
      <c r="B1427" s="881"/>
      <c r="C1427" s="881"/>
      <c r="D1427" s="881"/>
      <c r="E1427" s="881"/>
      <c r="R1427" s="882"/>
      <c r="S1427" s="882"/>
      <c r="T1427" s="882"/>
      <c r="U1427" s="882"/>
      <c r="V1427" s="882"/>
      <c r="W1427" s="882"/>
      <c r="X1427" s="882"/>
      <c r="Y1427" s="882"/>
    </row>
    <row r="1428" spans="1:25" x14ac:dyDescent="0.2">
      <c r="A1428" s="881"/>
      <c r="B1428" s="881"/>
      <c r="C1428" s="881"/>
      <c r="D1428" s="881"/>
      <c r="E1428" s="881"/>
      <c r="R1428" s="882"/>
      <c r="S1428" s="882"/>
      <c r="T1428" s="882"/>
      <c r="U1428" s="882"/>
      <c r="V1428" s="882"/>
      <c r="W1428" s="882"/>
      <c r="X1428" s="882"/>
      <c r="Y1428" s="882"/>
    </row>
    <row r="1429" spans="1:25" x14ac:dyDescent="0.2">
      <c r="A1429" s="881"/>
      <c r="B1429" s="881"/>
      <c r="C1429" s="881"/>
      <c r="D1429" s="881"/>
      <c r="E1429" s="881"/>
      <c r="R1429" s="882"/>
      <c r="S1429" s="882"/>
      <c r="T1429" s="882"/>
      <c r="U1429" s="882"/>
      <c r="V1429" s="882"/>
      <c r="W1429" s="882"/>
      <c r="X1429" s="882"/>
      <c r="Y1429" s="882"/>
    </row>
    <row r="1430" spans="1:25" x14ac:dyDescent="0.2">
      <c r="A1430" s="881"/>
      <c r="B1430" s="881"/>
      <c r="C1430" s="881"/>
      <c r="D1430" s="881"/>
      <c r="E1430" s="881"/>
      <c r="R1430" s="882"/>
      <c r="S1430" s="882"/>
      <c r="T1430" s="882"/>
      <c r="U1430" s="882"/>
      <c r="V1430" s="882"/>
      <c r="W1430" s="882"/>
      <c r="X1430" s="882"/>
      <c r="Y1430" s="882"/>
    </row>
    <row r="1431" spans="1:25" x14ac:dyDescent="0.2">
      <c r="A1431" s="881"/>
      <c r="B1431" s="881"/>
      <c r="C1431" s="881"/>
      <c r="D1431" s="881"/>
      <c r="E1431" s="881"/>
      <c r="R1431" s="882"/>
      <c r="S1431" s="882"/>
      <c r="T1431" s="882"/>
      <c r="U1431" s="882"/>
      <c r="V1431" s="882"/>
      <c r="W1431" s="882"/>
      <c r="X1431" s="882"/>
      <c r="Y1431" s="882"/>
    </row>
    <row r="1432" spans="1:25" x14ac:dyDescent="0.2">
      <c r="A1432" s="881"/>
      <c r="B1432" s="881"/>
      <c r="C1432" s="881"/>
      <c r="D1432" s="881"/>
      <c r="E1432" s="881"/>
      <c r="R1432" s="882"/>
      <c r="S1432" s="882"/>
      <c r="T1432" s="882"/>
      <c r="U1432" s="882"/>
      <c r="V1432" s="882"/>
      <c r="W1432" s="882"/>
      <c r="X1432" s="882"/>
      <c r="Y1432" s="882"/>
    </row>
    <row r="1433" spans="1:25" x14ac:dyDescent="0.2">
      <c r="A1433" s="881"/>
      <c r="B1433" s="881"/>
      <c r="C1433" s="881"/>
      <c r="D1433" s="881"/>
      <c r="E1433" s="881"/>
      <c r="R1433" s="882"/>
      <c r="S1433" s="882"/>
      <c r="T1433" s="882"/>
      <c r="U1433" s="882"/>
      <c r="V1433" s="882"/>
      <c r="W1433" s="882"/>
      <c r="X1433" s="882"/>
      <c r="Y1433" s="882"/>
    </row>
    <row r="1434" spans="1:25" x14ac:dyDescent="0.2">
      <c r="A1434" s="881"/>
      <c r="B1434" s="881"/>
      <c r="C1434" s="881"/>
      <c r="D1434" s="881"/>
      <c r="E1434" s="881"/>
      <c r="R1434" s="882"/>
      <c r="S1434" s="882"/>
      <c r="T1434" s="882"/>
      <c r="U1434" s="882"/>
      <c r="V1434" s="882"/>
      <c r="W1434" s="882"/>
      <c r="X1434" s="882"/>
      <c r="Y1434" s="882"/>
    </row>
    <row r="1435" spans="1:25" x14ac:dyDescent="0.2">
      <c r="A1435" s="881"/>
      <c r="B1435" s="881"/>
      <c r="C1435" s="881"/>
      <c r="D1435" s="881"/>
      <c r="E1435" s="881"/>
      <c r="R1435" s="882"/>
      <c r="S1435" s="882"/>
      <c r="T1435" s="882"/>
      <c r="U1435" s="882"/>
      <c r="V1435" s="882"/>
      <c r="W1435" s="882"/>
      <c r="X1435" s="882"/>
      <c r="Y1435" s="882"/>
    </row>
    <row r="1436" spans="1:25" x14ac:dyDescent="0.2">
      <c r="A1436" s="881"/>
      <c r="B1436" s="881"/>
      <c r="C1436" s="881"/>
      <c r="D1436" s="881"/>
      <c r="E1436" s="881"/>
      <c r="R1436" s="882"/>
      <c r="S1436" s="882"/>
      <c r="T1436" s="882"/>
      <c r="U1436" s="882"/>
      <c r="V1436" s="882"/>
      <c r="W1436" s="882"/>
      <c r="X1436" s="882"/>
      <c r="Y1436" s="882"/>
    </row>
    <row r="1437" spans="1:25" x14ac:dyDescent="0.2">
      <c r="A1437" s="881"/>
      <c r="B1437" s="881"/>
      <c r="C1437" s="881"/>
      <c r="D1437" s="881"/>
      <c r="E1437" s="881"/>
      <c r="R1437" s="882"/>
      <c r="S1437" s="882"/>
      <c r="T1437" s="882"/>
      <c r="U1437" s="882"/>
      <c r="V1437" s="882"/>
      <c r="W1437" s="882"/>
      <c r="X1437" s="882"/>
      <c r="Y1437" s="882"/>
    </row>
    <row r="1438" spans="1:25" x14ac:dyDescent="0.2">
      <c r="A1438" s="881"/>
      <c r="B1438" s="881"/>
      <c r="C1438" s="881"/>
      <c r="D1438" s="881"/>
      <c r="E1438" s="881"/>
      <c r="R1438" s="882"/>
      <c r="S1438" s="882"/>
      <c r="T1438" s="882"/>
      <c r="U1438" s="882"/>
      <c r="V1438" s="882"/>
      <c r="W1438" s="882"/>
      <c r="X1438" s="882"/>
      <c r="Y1438" s="882"/>
    </row>
    <row r="1439" spans="1:25" x14ac:dyDescent="0.2">
      <c r="A1439" s="881"/>
      <c r="B1439" s="881"/>
      <c r="C1439" s="881"/>
      <c r="D1439" s="881"/>
      <c r="E1439" s="881"/>
      <c r="R1439" s="882"/>
      <c r="S1439" s="882"/>
      <c r="T1439" s="882"/>
      <c r="U1439" s="882"/>
      <c r="V1439" s="882"/>
      <c r="W1439" s="882"/>
      <c r="X1439" s="882"/>
      <c r="Y1439" s="882"/>
    </row>
    <row r="1440" spans="1:25" x14ac:dyDescent="0.2">
      <c r="A1440" s="881"/>
      <c r="B1440" s="881"/>
      <c r="C1440" s="881"/>
      <c r="D1440" s="881"/>
      <c r="E1440" s="881"/>
      <c r="R1440" s="882"/>
      <c r="S1440" s="882"/>
      <c r="T1440" s="882"/>
      <c r="U1440" s="882"/>
      <c r="V1440" s="882"/>
      <c r="W1440" s="882"/>
      <c r="X1440" s="882"/>
      <c r="Y1440" s="882"/>
    </row>
    <row r="1441" spans="1:25" x14ac:dyDescent="0.2">
      <c r="A1441" s="881"/>
      <c r="B1441" s="881"/>
      <c r="C1441" s="881"/>
      <c r="D1441" s="881"/>
      <c r="E1441" s="881"/>
      <c r="R1441" s="882"/>
      <c r="S1441" s="882"/>
      <c r="T1441" s="882"/>
      <c r="U1441" s="882"/>
      <c r="V1441" s="882"/>
      <c r="W1441" s="882"/>
      <c r="X1441" s="882"/>
      <c r="Y1441" s="882"/>
    </row>
    <row r="1442" spans="1:25" x14ac:dyDescent="0.2">
      <c r="A1442" s="881"/>
      <c r="B1442" s="881"/>
      <c r="C1442" s="881"/>
      <c r="D1442" s="881"/>
      <c r="E1442" s="881"/>
      <c r="R1442" s="882"/>
      <c r="S1442" s="882"/>
      <c r="T1442" s="882"/>
      <c r="U1442" s="882"/>
      <c r="V1442" s="882"/>
      <c r="W1442" s="882"/>
      <c r="X1442" s="882"/>
      <c r="Y1442" s="882"/>
    </row>
    <row r="1443" spans="1:25" x14ac:dyDescent="0.2">
      <c r="A1443" s="881"/>
      <c r="B1443" s="881"/>
      <c r="C1443" s="881"/>
      <c r="D1443" s="881"/>
      <c r="E1443" s="881"/>
      <c r="R1443" s="882"/>
      <c r="S1443" s="882"/>
      <c r="T1443" s="882"/>
      <c r="U1443" s="882"/>
      <c r="V1443" s="882"/>
      <c r="W1443" s="882"/>
      <c r="X1443" s="882"/>
      <c r="Y1443" s="882"/>
    </row>
    <row r="1444" spans="1:25" x14ac:dyDescent="0.2">
      <c r="A1444" s="881"/>
      <c r="B1444" s="881"/>
      <c r="C1444" s="881"/>
      <c r="D1444" s="881"/>
      <c r="E1444" s="881"/>
      <c r="R1444" s="882"/>
      <c r="S1444" s="882"/>
      <c r="T1444" s="882"/>
      <c r="U1444" s="882"/>
      <c r="V1444" s="882"/>
      <c r="W1444" s="882"/>
      <c r="X1444" s="882"/>
      <c r="Y1444" s="882"/>
    </row>
    <row r="1445" spans="1:25" x14ac:dyDescent="0.2">
      <c r="A1445" s="881"/>
      <c r="B1445" s="881"/>
      <c r="C1445" s="881"/>
      <c r="D1445" s="881"/>
      <c r="E1445" s="881"/>
      <c r="R1445" s="882"/>
      <c r="S1445" s="882"/>
      <c r="T1445" s="882"/>
      <c r="U1445" s="882"/>
      <c r="V1445" s="882"/>
      <c r="W1445" s="882"/>
      <c r="X1445" s="882"/>
      <c r="Y1445" s="882"/>
    </row>
    <row r="1446" spans="1:25" x14ac:dyDescent="0.2">
      <c r="A1446" s="881"/>
      <c r="B1446" s="881"/>
      <c r="C1446" s="881"/>
      <c r="D1446" s="881"/>
      <c r="E1446" s="881"/>
      <c r="R1446" s="882"/>
      <c r="S1446" s="882"/>
      <c r="T1446" s="882"/>
      <c r="U1446" s="882"/>
      <c r="V1446" s="882"/>
      <c r="W1446" s="882"/>
      <c r="X1446" s="882"/>
      <c r="Y1446" s="882"/>
    </row>
    <row r="1447" spans="1:25" x14ac:dyDescent="0.2">
      <c r="A1447" s="881"/>
      <c r="B1447" s="881"/>
      <c r="C1447" s="881"/>
      <c r="D1447" s="881"/>
      <c r="E1447" s="881"/>
      <c r="R1447" s="882"/>
      <c r="S1447" s="882"/>
      <c r="T1447" s="882"/>
      <c r="U1447" s="882"/>
      <c r="V1447" s="882"/>
      <c r="W1447" s="882"/>
      <c r="X1447" s="882"/>
      <c r="Y1447" s="882"/>
    </row>
    <row r="1448" spans="1:25" x14ac:dyDescent="0.2">
      <c r="A1448" s="881"/>
      <c r="B1448" s="881"/>
      <c r="C1448" s="881"/>
      <c r="D1448" s="881"/>
      <c r="E1448" s="881"/>
      <c r="R1448" s="882"/>
      <c r="S1448" s="882"/>
      <c r="T1448" s="882"/>
      <c r="U1448" s="882"/>
      <c r="V1448" s="882"/>
      <c r="W1448" s="882"/>
      <c r="X1448" s="882"/>
      <c r="Y1448" s="882"/>
    </row>
    <row r="1449" spans="1:25" x14ac:dyDescent="0.2">
      <c r="A1449" s="881"/>
      <c r="B1449" s="881"/>
      <c r="C1449" s="881"/>
      <c r="D1449" s="881"/>
      <c r="E1449" s="881"/>
      <c r="R1449" s="882"/>
      <c r="S1449" s="882"/>
      <c r="T1449" s="882"/>
      <c r="U1449" s="882"/>
      <c r="V1449" s="882"/>
      <c r="W1449" s="882"/>
      <c r="X1449" s="882"/>
      <c r="Y1449" s="882"/>
    </row>
    <row r="1450" spans="1:25" x14ac:dyDescent="0.2">
      <c r="A1450" s="881"/>
      <c r="B1450" s="881"/>
      <c r="C1450" s="881"/>
      <c r="D1450" s="881"/>
      <c r="E1450" s="881"/>
      <c r="R1450" s="882"/>
      <c r="S1450" s="882"/>
      <c r="T1450" s="882"/>
      <c r="U1450" s="882"/>
      <c r="V1450" s="882"/>
      <c r="W1450" s="882"/>
      <c r="X1450" s="882"/>
      <c r="Y1450" s="882"/>
    </row>
    <row r="1451" spans="1:25" x14ac:dyDescent="0.2">
      <c r="A1451" s="881"/>
      <c r="B1451" s="881"/>
      <c r="C1451" s="881"/>
      <c r="D1451" s="881"/>
      <c r="E1451" s="881"/>
      <c r="R1451" s="882"/>
      <c r="S1451" s="882"/>
      <c r="T1451" s="882"/>
      <c r="U1451" s="882"/>
      <c r="V1451" s="882"/>
      <c r="W1451" s="882"/>
      <c r="X1451" s="882"/>
      <c r="Y1451" s="882"/>
    </row>
    <row r="1452" spans="1:25" x14ac:dyDescent="0.2">
      <c r="A1452" s="881"/>
      <c r="B1452" s="881"/>
      <c r="C1452" s="881"/>
      <c r="D1452" s="881"/>
      <c r="E1452" s="881"/>
      <c r="R1452" s="882"/>
      <c r="S1452" s="882"/>
      <c r="T1452" s="882"/>
      <c r="U1452" s="882"/>
      <c r="V1452" s="882"/>
      <c r="W1452" s="882"/>
      <c r="X1452" s="882"/>
      <c r="Y1452" s="882"/>
    </row>
    <row r="1453" spans="1:25" x14ac:dyDescent="0.2">
      <c r="A1453" s="881"/>
      <c r="B1453" s="881"/>
      <c r="C1453" s="881"/>
      <c r="D1453" s="881"/>
      <c r="E1453" s="881"/>
      <c r="R1453" s="882"/>
      <c r="S1453" s="882"/>
      <c r="T1453" s="882"/>
      <c r="U1453" s="882"/>
      <c r="V1453" s="882"/>
      <c r="W1453" s="882"/>
      <c r="X1453" s="882"/>
      <c r="Y1453" s="882"/>
    </row>
    <row r="1454" spans="1:25" x14ac:dyDescent="0.2">
      <c r="A1454" s="881"/>
      <c r="B1454" s="881"/>
      <c r="C1454" s="881"/>
      <c r="D1454" s="881"/>
      <c r="E1454" s="881"/>
      <c r="R1454" s="882"/>
      <c r="S1454" s="882"/>
      <c r="T1454" s="882"/>
      <c r="U1454" s="882"/>
      <c r="V1454" s="882"/>
      <c r="W1454" s="882"/>
      <c r="X1454" s="882"/>
      <c r="Y1454" s="882"/>
    </row>
    <row r="1455" spans="1:25" x14ac:dyDescent="0.2">
      <c r="A1455" s="881"/>
      <c r="B1455" s="881"/>
      <c r="C1455" s="881"/>
      <c r="D1455" s="881"/>
      <c r="E1455" s="881"/>
      <c r="R1455" s="882"/>
      <c r="S1455" s="882"/>
      <c r="T1455" s="882"/>
      <c r="U1455" s="882"/>
      <c r="V1455" s="882"/>
      <c r="W1455" s="882"/>
      <c r="X1455" s="882"/>
      <c r="Y1455" s="882"/>
    </row>
    <row r="1456" spans="1:25" x14ac:dyDescent="0.2">
      <c r="A1456" s="881"/>
      <c r="B1456" s="881"/>
      <c r="C1456" s="881"/>
      <c r="D1456" s="881"/>
      <c r="E1456" s="881"/>
      <c r="R1456" s="882"/>
      <c r="S1456" s="882"/>
      <c r="T1456" s="882"/>
      <c r="U1456" s="882"/>
      <c r="V1456" s="882"/>
      <c r="W1456" s="882"/>
      <c r="X1456" s="882"/>
      <c r="Y1456" s="882"/>
    </row>
    <row r="1457" spans="1:25" x14ac:dyDescent="0.2">
      <c r="A1457" s="881"/>
      <c r="B1457" s="881"/>
      <c r="C1457" s="881"/>
      <c r="D1457" s="881"/>
      <c r="E1457" s="881"/>
      <c r="R1457" s="882"/>
      <c r="S1457" s="882"/>
      <c r="T1457" s="882"/>
      <c r="U1457" s="882"/>
      <c r="V1457" s="882"/>
      <c r="W1457" s="882"/>
      <c r="X1457" s="882"/>
      <c r="Y1457" s="882"/>
    </row>
    <row r="1458" spans="1:25" x14ac:dyDescent="0.2">
      <c r="A1458" s="881"/>
      <c r="B1458" s="881"/>
      <c r="C1458" s="881"/>
      <c r="D1458" s="881"/>
      <c r="E1458" s="881"/>
      <c r="R1458" s="882"/>
      <c r="S1458" s="882"/>
      <c r="T1458" s="882"/>
      <c r="U1458" s="882"/>
      <c r="V1458" s="882"/>
      <c r="W1458" s="882"/>
      <c r="X1458" s="882"/>
      <c r="Y1458" s="882"/>
    </row>
    <row r="1459" spans="1:25" x14ac:dyDescent="0.2">
      <c r="A1459" s="881"/>
      <c r="B1459" s="881"/>
      <c r="C1459" s="881"/>
      <c r="D1459" s="881"/>
      <c r="E1459" s="881"/>
      <c r="R1459" s="882"/>
      <c r="S1459" s="882"/>
      <c r="T1459" s="882"/>
      <c r="U1459" s="882"/>
      <c r="V1459" s="882"/>
      <c r="W1459" s="882"/>
      <c r="X1459" s="882"/>
      <c r="Y1459" s="882"/>
    </row>
    <row r="1460" spans="1:25" x14ac:dyDescent="0.2">
      <c r="A1460" s="881"/>
      <c r="B1460" s="881"/>
      <c r="C1460" s="881"/>
      <c r="D1460" s="881"/>
      <c r="E1460" s="881"/>
      <c r="R1460" s="882"/>
      <c r="S1460" s="882"/>
      <c r="T1460" s="882"/>
      <c r="U1460" s="882"/>
      <c r="V1460" s="882"/>
      <c r="W1460" s="882"/>
      <c r="X1460" s="882"/>
      <c r="Y1460" s="882"/>
    </row>
    <row r="1461" spans="1:25" x14ac:dyDescent="0.2">
      <c r="A1461" s="881"/>
      <c r="B1461" s="881"/>
      <c r="C1461" s="881"/>
      <c r="D1461" s="881"/>
      <c r="E1461" s="881"/>
      <c r="R1461" s="882"/>
      <c r="S1461" s="882"/>
      <c r="T1461" s="882"/>
      <c r="U1461" s="882"/>
      <c r="V1461" s="882"/>
      <c r="W1461" s="882"/>
      <c r="X1461" s="882"/>
      <c r="Y1461" s="882"/>
    </row>
    <row r="1462" spans="1:25" x14ac:dyDescent="0.2">
      <c r="A1462" s="881"/>
      <c r="B1462" s="881"/>
      <c r="C1462" s="881"/>
      <c r="D1462" s="881"/>
      <c r="E1462" s="881"/>
      <c r="R1462" s="882"/>
      <c r="S1462" s="882"/>
      <c r="T1462" s="882"/>
      <c r="U1462" s="882"/>
      <c r="V1462" s="882"/>
      <c r="W1462" s="882"/>
      <c r="X1462" s="882"/>
      <c r="Y1462" s="882"/>
    </row>
    <row r="1463" spans="1:25" x14ac:dyDescent="0.2">
      <c r="A1463" s="881"/>
      <c r="B1463" s="881"/>
      <c r="C1463" s="881"/>
      <c r="D1463" s="881"/>
      <c r="E1463" s="881"/>
      <c r="R1463" s="882"/>
      <c r="S1463" s="882"/>
      <c r="T1463" s="882"/>
      <c r="U1463" s="882"/>
      <c r="V1463" s="882"/>
      <c r="W1463" s="882"/>
      <c r="X1463" s="882"/>
      <c r="Y1463" s="882"/>
    </row>
    <row r="1464" spans="1:25" x14ac:dyDescent="0.2">
      <c r="A1464" s="881"/>
      <c r="B1464" s="881"/>
      <c r="C1464" s="881"/>
      <c r="D1464" s="881"/>
      <c r="E1464" s="881"/>
      <c r="R1464" s="882"/>
      <c r="S1464" s="882"/>
      <c r="T1464" s="882"/>
      <c r="U1464" s="882"/>
      <c r="V1464" s="882"/>
      <c r="W1464" s="882"/>
      <c r="X1464" s="882"/>
      <c r="Y1464" s="882"/>
    </row>
    <row r="1465" spans="1:25" x14ac:dyDescent="0.2">
      <c r="A1465" s="881"/>
      <c r="B1465" s="881"/>
      <c r="C1465" s="881"/>
      <c r="D1465" s="881"/>
      <c r="E1465" s="881"/>
      <c r="R1465" s="882"/>
      <c r="S1465" s="882"/>
      <c r="T1465" s="882"/>
      <c r="U1465" s="882"/>
      <c r="V1465" s="882"/>
      <c r="W1465" s="882"/>
      <c r="X1465" s="882"/>
      <c r="Y1465" s="882"/>
    </row>
    <row r="1466" spans="1:25" x14ac:dyDescent="0.2">
      <c r="A1466" s="881"/>
      <c r="B1466" s="881"/>
      <c r="C1466" s="881"/>
      <c r="D1466" s="881"/>
      <c r="E1466" s="881"/>
      <c r="R1466" s="882"/>
      <c r="S1466" s="882"/>
      <c r="T1466" s="882"/>
      <c r="U1466" s="882"/>
      <c r="V1466" s="882"/>
      <c r="W1466" s="882"/>
      <c r="X1466" s="882"/>
      <c r="Y1466" s="882"/>
    </row>
    <row r="1467" spans="1:25" x14ac:dyDescent="0.2">
      <c r="A1467" s="881"/>
      <c r="B1467" s="881"/>
      <c r="C1467" s="881"/>
      <c r="D1467" s="881"/>
      <c r="E1467" s="881"/>
      <c r="R1467" s="882"/>
      <c r="S1467" s="882"/>
      <c r="T1467" s="882"/>
      <c r="U1467" s="882"/>
      <c r="V1467" s="882"/>
      <c r="W1467" s="882"/>
      <c r="X1467" s="882"/>
      <c r="Y1467" s="882"/>
    </row>
    <row r="1468" spans="1:25" x14ac:dyDescent="0.2">
      <c r="A1468" s="881"/>
      <c r="B1468" s="881"/>
      <c r="C1468" s="881"/>
      <c r="D1468" s="881"/>
      <c r="E1468" s="881"/>
      <c r="R1468" s="882"/>
      <c r="S1468" s="882"/>
      <c r="T1468" s="882"/>
      <c r="U1468" s="882"/>
      <c r="V1468" s="882"/>
      <c r="W1468" s="882"/>
      <c r="X1468" s="882"/>
      <c r="Y1468" s="882"/>
    </row>
    <row r="1469" spans="1:25" x14ac:dyDescent="0.2">
      <c r="A1469" s="881"/>
      <c r="B1469" s="881"/>
      <c r="C1469" s="881"/>
      <c r="D1469" s="881"/>
      <c r="E1469" s="881"/>
      <c r="R1469" s="882"/>
      <c r="S1469" s="882"/>
      <c r="T1469" s="882"/>
      <c r="U1469" s="882"/>
      <c r="V1469" s="882"/>
      <c r="W1469" s="882"/>
      <c r="X1469" s="882"/>
      <c r="Y1469" s="882"/>
    </row>
    <row r="1470" spans="1:25" x14ac:dyDescent="0.2">
      <c r="A1470" s="881"/>
      <c r="B1470" s="881"/>
      <c r="C1470" s="881"/>
      <c r="D1470" s="881"/>
      <c r="E1470" s="881"/>
      <c r="R1470" s="882"/>
      <c r="S1470" s="882"/>
      <c r="T1470" s="882"/>
      <c r="U1470" s="882"/>
      <c r="V1470" s="882"/>
      <c r="W1470" s="882"/>
      <c r="X1470" s="882"/>
      <c r="Y1470" s="882"/>
    </row>
    <row r="1471" spans="1:25" x14ac:dyDescent="0.2">
      <c r="A1471" s="881"/>
      <c r="B1471" s="881"/>
      <c r="C1471" s="881"/>
      <c r="D1471" s="881"/>
      <c r="E1471" s="881"/>
      <c r="R1471" s="882"/>
      <c r="S1471" s="882"/>
      <c r="T1471" s="882"/>
      <c r="U1471" s="882"/>
      <c r="V1471" s="882"/>
      <c r="W1471" s="882"/>
      <c r="X1471" s="882"/>
      <c r="Y1471" s="882"/>
    </row>
    <row r="1472" spans="1:25" x14ac:dyDescent="0.2">
      <c r="A1472" s="881"/>
      <c r="B1472" s="881"/>
      <c r="C1472" s="881"/>
      <c r="D1472" s="881"/>
      <c r="E1472" s="881"/>
      <c r="R1472" s="882"/>
      <c r="S1472" s="882"/>
      <c r="T1472" s="882"/>
      <c r="U1472" s="882"/>
      <c r="V1472" s="882"/>
      <c r="W1472" s="882"/>
      <c r="X1472" s="882"/>
      <c r="Y1472" s="882"/>
    </row>
    <row r="1473" spans="1:25" x14ac:dyDescent="0.2">
      <c r="A1473" s="881"/>
      <c r="B1473" s="881"/>
      <c r="C1473" s="881"/>
      <c r="D1473" s="881"/>
      <c r="E1473" s="881"/>
      <c r="R1473" s="882"/>
      <c r="S1473" s="882"/>
      <c r="T1473" s="882"/>
      <c r="U1473" s="882"/>
      <c r="V1473" s="882"/>
      <c r="W1473" s="882"/>
      <c r="X1473" s="882"/>
      <c r="Y1473" s="882"/>
    </row>
    <row r="1474" spans="1:25" x14ac:dyDescent="0.2">
      <c r="A1474" s="881"/>
      <c r="B1474" s="881"/>
      <c r="C1474" s="881"/>
      <c r="D1474" s="881"/>
      <c r="E1474" s="881"/>
      <c r="R1474" s="882"/>
      <c r="S1474" s="882"/>
      <c r="T1474" s="882"/>
      <c r="U1474" s="882"/>
      <c r="V1474" s="882"/>
      <c r="W1474" s="882"/>
      <c r="X1474" s="882"/>
      <c r="Y1474" s="882"/>
    </row>
    <row r="1475" spans="1:25" x14ac:dyDescent="0.2">
      <c r="A1475" s="881"/>
      <c r="B1475" s="881"/>
      <c r="C1475" s="881"/>
      <c r="D1475" s="881"/>
      <c r="E1475" s="881"/>
      <c r="R1475" s="882"/>
      <c r="S1475" s="882"/>
      <c r="T1475" s="882"/>
      <c r="U1475" s="882"/>
      <c r="V1475" s="882"/>
      <c r="W1475" s="882"/>
      <c r="X1475" s="882"/>
      <c r="Y1475" s="882"/>
    </row>
    <row r="1476" spans="1:25" x14ac:dyDescent="0.2">
      <c r="A1476" s="881"/>
      <c r="B1476" s="881"/>
      <c r="C1476" s="881"/>
      <c r="D1476" s="881"/>
      <c r="E1476" s="881"/>
      <c r="R1476" s="882"/>
      <c r="S1476" s="882"/>
      <c r="T1476" s="882"/>
      <c r="U1476" s="882"/>
      <c r="V1476" s="882"/>
      <c r="W1476" s="882"/>
      <c r="X1476" s="882"/>
      <c r="Y1476" s="882"/>
    </row>
    <row r="1477" spans="1:25" x14ac:dyDescent="0.2">
      <c r="A1477" s="881"/>
      <c r="B1477" s="881"/>
      <c r="C1477" s="881"/>
      <c r="D1477" s="881"/>
      <c r="E1477" s="881"/>
      <c r="R1477" s="882"/>
      <c r="S1477" s="882"/>
      <c r="T1477" s="882"/>
      <c r="U1477" s="882"/>
      <c r="V1477" s="882"/>
      <c r="W1477" s="882"/>
      <c r="X1477" s="882"/>
      <c r="Y1477" s="882"/>
    </row>
    <row r="1478" spans="1:25" x14ac:dyDescent="0.2">
      <c r="A1478" s="881"/>
      <c r="B1478" s="881"/>
      <c r="C1478" s="881"/>
      <c r="D1478" s="881"/>
      <c r="E1478" s="881"/>
      <c r="R1478" s="882"/>
      <c r="S1478" s="882"/>
      <c r="T1478" s="882"/>
      <c r="U1478" s="882"/>
      <c r="V1478" s="882"/>
      <c r="W1478" s="882"/>
      <c r="X1478" s="882"/>
      <c r="Y1478" s="882"/>
    </row>
    <row r="1479" spans="1:25" x14ac:dyDescent="0.2">
      <c r="A1479" s="881"/>
      <c r="B1479" s="881"/>
      <c r="C1479" s="881"/>
      <c r="D1479" s="881"/>
      <c r="E1479" s="881"/>
      <c r="R1479" s="882"/>
      <c r="S1479" s="882"/>
      <c r="T1479" s="882"/>
      <c r="U1479" s="882"/>
      <c r="V1479" s="882"/>
      <c r="W1479" s="882"/>
      <c r="X1479" s="882"/>
      <c r="Y1479" s="882"/>
    </row>
    <row r="1480" spans="1:25" x14ac:dyDescent="0.2">
      <c r="A1480" s="881"/>
      <c r="B1480" s="881"/>
      <c r="C1480" s="881"/>
      <c r="D1480" s="881"/>
      <c r="E1480" s="881"/>
      <c r="R1480" s="882"/>
      <c r="S1480" s="882"/>
      <c r="T1480" s="882"/>
      <c r="U1480" s="882"/>
      <c r="V1480" s="882"/>
      <c r="W1480" s="882"/>
      <c r="X1480" s="882"/>
      <c r="Y1480" s="882"/>
    </row>
    <row r="1481" spans="1:25" x14ac:dyDescent="0.2">
      <c r="A1481" s="881"/>
      <c r="B1481" s="881"/>
      <c r="C1481" s="881"/>
      <c r="D1481" s="881"/>
      <c r="E1481" s="881"/>
      <c r="R1481" s="882"/>
      <c r="S1481" s="882"/>
      <c r="T1481" s="882"/>
      <c r="U1481" s="882"/>
      <c r="V1481" s="882"/>
      <c r="W1481" s="882"/>
      <c r="X1481" s="882"/>
      <c r="Y1481" s="882"/>
    </row>
    <row r="1482" spans="1:25" x14ac:dyDescent="0.2">
      <c r="A1482" s="881"/>
      <c r="B1482" s="881"/>
      <c r="C1482" s="881"/>
      <c r="D1482" s="881"/>
      <c r="E1482" s="881"/>
      <c r="R1482" s="882"/>
      <c r="S1482" s="882"/>
      <c r="T1482" s="882"/>
      <c r="U1482" s="882"/>
      <c r="V1482" s="882"/>
      <c r="W1482" s="882"/>
      <c r="X1482" s="882"/>
      <c r="Y1482" s="882"/>
    </row>
    <row r="1483" spans="1:25" x14ac:dyDescent="0.2">
      <c r="A1483" s="881"/>
      <c r="B1483" s="881"/>
      <c r="C1483" s="881"/>
      <c r="D1483" s="881"/>
      <c r="E1483" s="881"/>
      <c r="R1483" s="882"/>
      <c r="S1483" s="882"/>
      <c r="T1483" s="882"/>
      <c r="U1483" s="882"/>
      <c r="V1483" s="882"/>
      <c r="W1483" s="882"/>
      <c r="X1483" s="882"/>
      <c r="Y1483" s="882"/>
    </row>
    <row r="1484" spans="1:25" x14ac:dyDescent="0.2">
      <c r="A1484" s="881"/>
      <c r="B1484" s="881"/>
      <c r="C1484" s="881"/>
      <c r="D1484" s="881"/>
      <c r="E1484" s="881"/>
      <c r="R1484" s="882"/>
      <c r="S1484" s="882"/>
      <c r="T1484" s="882"/>
      <c r="U1484" s="882"/>
      <c r="V1484" s="882"/>
      <c r="W1484" s="882"/>
      <c r="X1484" s="882"/>
      <c r="Y1484" s="882"/>
    </row>
    <row r="1485" spans="1:25" x14ac:dyDescent="0.2">
      <c r="A1485" s="881"/>
      <c r="B1485" s="881"/>
      <c r="C1485" s="881"/>
      <c r="D1485" s="881"/>
      <c r="E1485" s="881"/>
      <c r="R1485" s="882"/>
      <c r="S1485" s="882"/>
      <c r="T1485" s="882"/>
      <c r="U1485" s="882"/>
      <c r="V1485" s="882"/>
      <c r="W1485" s="882"/>
      <c r="X1485" s="882"/>
      <c r="Y1485" s="882"/>
    </row>
    <row r="1486" spans="1:25" x14ac:dyDescent="0.2">
      <c r="A1486" s="881"/>
      <c r="B1486" s="881"/>
      <c r="C1486" s="881"/>
      <c r="D1486" s="881"/>
      <c r="E1486" s="881"/>
      <c r="R1486" s="882"/>
      <c r="S1486" s="882"/>
      <c r="T1486" s="882"/>
      <c r="U1486" s="882"/>
      <c r="V1486" s="882"/>
      <c r="W1486" s="882"/>
      <c r="X1486" s="882"/>
      <c r="Y1486" s="882"/>
    </row>
    <row r="1487" spans="1:25" x14ac:dyDescent="0.2">
      <c r="A1487" s="881"/>
      <c r="B1487" s="881"/>
      <c r="C1487" s="881"/>
      <c r="D1487" s="881"/>
      <c r="E1487" s="881"/>
      <c r="R1487" s="882"/>
      <c r="S1487" s="882"/>
      <c r="T1487" s="882"/>
      <c r="U1487" s="882"/>
      <c r="V1487" s="882"/>
      <c r="W1487" s="882"/>
      <c r="X1487" s="882"/>
      <c r="Y1487" s="882"/>
    </row>
    <row r="1488" spans="1:25" x14ac:dyDescent="0.2">
      <c r="A1488" s="881"/>
      <c r="B1488" s="881"/>
      <c r="C1488" s="881"/>
      <c r="D1488" s="881"/>
      <c r="E1488" s="881"/>
      <c r="R1488" s="882"/>
      <c r="S1488" s="882"/>
      <c r="T1488" s="882"/>
      <c r="U1488" s="882"/>
      <c r="V1488" s="882"/>
      <c r="W1488" s="882"/>
      <c r="X1488" s="882"/>
      <c r="Y1488" s="882"/>
    </row>
    <row r="1489" spans="1:25" x14ac:dyDescent="0.2">
      <c r="A1489" s="881"/>
      <c r="B1489" s="881"/>
      <c r="C1489" s="881"/>
      <c r="D1489" s="881"/>
      <c r="E1489" s="881"/>
      <c r="R1489" s="882"/>
      <c r="S1489" s="882"/>
      <c r="T1489" s="882"/>
      <c r="U1489" s="882"/>
      <c r="V1489" s="882"/>
      <c r="W1489" s="882"/>
      <c r="X1489" s="882"/>
      <c r="Y1489" s="882"/>
    </row>
    <row r="1490" spans="1:25" x14ac:dyDescent="0.2">
      <c r="A1490" s="881"/>
      <c r="B1490" s="881"/>
      <c r="C1490" s="881"/>
      <c r="D1490" s="881"/>
      <c r="E1490" s="881"/>
      <c r="R1490" s="882"/>
      <c r="S1490" s="882"/>
      <c r="T1490" s="882"/>
      <c r="U1490" s="882"/>
      <c r="V1490" s="882"/>
      <c r="W1490" s="882"/>
      <c r="X1490" s="882"/>
      <c r="Y1490" s="882"/>
    </row>
    <row r="1491" spans="1:25" x14ac:dyDescent="0.2">
      <c r="A1491" s="881"/>
      <c r="B1491" s="881"/>
      <c r="C1491" s="881"/>
      <c r="D1491" s="881"/>
      <c r="E1491" s="881"/>
      <c r="R1491" s="882"/>
      <c r="S1491" s="882"/>
      <c r="T1491" s="882"/>
      <c r="U1491" s="882"/>
      <c r="V1491" s="882"/>
      <c r="W1491" s="882"/>
      <c r="X1491" s="882"/>
      <c r="Y1491" s="882"/>
    </row>
    <row r="1492" spans="1:25" x14ac:dyDescent="0.2">
      <c r="A1492" s="881"/>
      <c r="B1492" s="881"/>
      <c r="C1492" s="881"/>
      <c r="D1492" s="881"/>
      <c r="E1492" s="881"/>
      <c r="R1492" s="882"/>
      <c r="S1492" s="882"/>
      <c r="T1492" s="882"/>
      <c r="U1492" s="882"/>
      <c r="V1492" s="882"/>
      <c r="W1492" s="882"/>
      <c r="X1492" s="882"/>
      <c r="Y1492" s="882"/>
    </row>
    <row r="1493" spans="1:25" x14ac:dyDescent="0.2">
      <c r="A1493" s="881"/>
      <c r="B1493" s="881"/>
      <c r="C1493" s="881"/>
      <c r="D1493" s="881"/>
      <c r="E1493" s="881"/>
      <c r="R1493" s="882"/>
      <c r="S1493" s="882"/>
      <c r="T1493" s="882"/>
      <c r="U1493" s="882"/>
      <c r="V1493" s="882"/>
      <c r="W1493" s="882"/>
      <c r="X1493" s="882"/>
      <c r="Y1493" s="882"/>
    </row>
    <row r="1494" spans="1:25" x14ac:dyDescent="0.2">
      <c r="A1494" s="881"/>
      <c r="B1494" s="881"/>
      <c r="C1494" s="881"/>
      <c r="D1494" s="881"/>
      <c r="E1494" s="881"/>
      <c r="R1494" s="882"/>
      <c r="S1494" s="882"/>
      <c r="T1494" s="882"/>
      <c r="U1494" s="882"/>
      <c r="V1494" s="882"/>
      <c r="W1494" s="882"/>
      <c r="X1494" s="882"/>
      <c r="Y1494" s="882"/>
    </row>
    <row r="1495" spans="1:25" x14ac:dyDescent="0.2">
      <c r="A1495" s="881"/>
      <c r="B1495" s="881"/>
      <c r="C1495" s="881"/>
      <c r="D1495" s="881"/>
      <c r="E1495" s="881"/>
      <c r="R1495" s="882"/>
      <c r="S1495" s="882"/>
      <c r="T1495" s="882"/>
      <c r="U1495" s="882"/>
      <c r="V1495" s="882"/>
      <c r="W1495" s="882"/>
      <c r="X1495" s="882"/>
      <c r="Y1495" s="882"/>
    </row>
    <row r="1496" spans="1:25" x14ac:dyDescent="0.2">
      <c r="A1496" s="881"/>
      <c r="B1496" s="881"/>
      <c r="C1496" s="881"/>
      <c r="D1496" s="881"/>
      <c r="E1496" s="881"/>
      <c r="R1496" s="882"/>
      <c r="S1496" s="882"/>
      <c r="T1496" s="882"/>
      <c r="U1496" s="882"/>
      <c r="V1496" s="882"/>
      <c r="W1496" s="882"/>
      <c r="X1496" s="882"/>
      <c r="Y1496" s="882"/>
    </row>
    <row r="1497" spans="1:25" x14ac:dyDescent="0.2">
      <c r="A1497" s="881"/>
      <c r="B1497" s="881"/>
      <c r="C1497" s="881"/>
      <c r="D1497" s="881"/>
      <c r="E1497" s="881"/>
      <c r="R1497" s="882"/>
      <c r="S1497" s="882"/>
      <c r="T1497" s="882"/>
      <c r="U1497" s="882"/>
      <c r="V1497" s="882"/>
      <c r="W1497" s="882"/>
      <c r="X1497" s="882"/>
      <c r="Y1497" s="882"/>
    </row>
    <row r="1498" spans="1:25" x14ac:dyDescent="0.2">
      <c r="A1498" s="881"/>
      <c r="B1498" s="881"/>
      <c r="C1498" s="881"/>
      <c r="D1498" s="881"/>
      <c r="E1498" s="881"/>
      <c r="R1498" s="882"/>
      <c r="S1498" s="882"/>
      <c r="T1498" s="882"/>
      <c r="U1498" s="882"/>
      <c r="V1498" s="882"/>
      <c r="W1498" s="882"/>
      <c r="X1498" s="882"/>
      <c r="Y1498" s="882"/>
    </row>
    <row r="1499" spans="1:25" x14ac:dyDescent="0.2">
      <c r="A1499" s="881"/>
      <c r="B1499" s="881"/>
      <c r="C1499" s="881"/>
      <c r="D1499" s="881"/>
      <c r="E1499" s="881"/>
      <c r="R1499" s="882"/>
      <c r="S1499" s="882"/>
      <c r="T1499" s="882"/>
      <c r="U1499" s="882"/>
      <c r="V1499" s="882"/>
      <c r="W1499" s="882"/>
      <c r="X1499" s="882"/>
      <c r="Y1499" s="882"/>
    </row>
    <row r="1500" spans="1:25" x14ac:dyDescent="0.2">
      <c r="A1500" s="881"/>
      <c r="B1500" s="881"/>
      <c r="C1500" s="881"/>
      <c r="D1500" s="881"/>
      <c r="E1500" s="881"/>
      <c r="R1500" s="882"/>
      <c r="S1500" s="882"/>
      <c r="T1500" s="882"/>
      <c r="U1500" s="882"/>
      <c r="V1500" s="882"/>
      <c r="W1500" s="882"/>
      <c r="X1500" s="882"/>
      <c r="Y1500" s="882"/>
    </row>
    <row r="1501" spans="1:25" x14ac:dyDescent="0.2">
      <c r="A1501" s="881"/>
      <c r="B1501" s="881"/>
      <c r="C1501" s="881"/>
      <c r="D1501" s="881"/>
      <c r="E1501" s="881"/>
      <c r="R1501" s="882"/>
      <c r="S1501" s="882"/>
      <c r="T1501" s="882"/>
      <c r="U1501" s="882"/>
      <c r="V1501" s="882"/>
      <c r="W1501" s="882"/>
      <c r="X1501" s="882"/>
      <c r="Y1501" s="882"/>
    </row>
    <row r="1502" spans="1:25" x14ac:dyDescent="0.2">
      <c r="A1502" s="881"/>
      <c r="B1502" s="881"/>
      <c r="C1502" s="881"/>
      <c r="D1502" s="881"/>
      <c r="E1502" s="881"/>
      <c r="R1502" s="882"/>
      <c r="S1502" s="882"/>
      <c r="T1502" s="882"/>
      <c r="U1502" s="882"/>
      <c r="V1502" s="882"/>
      <c r="W1502" s="882"/>
      <c r="X1502" s="882"/>
      <c r="Y1502" s="882"/>
    </row>
    <row r="1503" spans="1:25" x14ac:dyDescent="0.2">
      <c r="A1503" s="881"/>
      <c r="B1503" s="881"/>
      <c r="C1503" s="881"/>
      <c r="D1503" s="881"/>
      <c r="E1503" s="881"/>
      <c r="R1503" s="882"/>
      <c r="S1503" s="882"/>
      <c r="T1503" s="882"/>
      <c r="U1503" s="882"/>
      <c r="V1503" s="882"/>
      <c r="W1503" s="882"/>
      <c r="X1503" s="882"/>
      <c r="Y1503" s="882"/>
    </row>
    <row r="1504" spans="1:25" x14ac:dyDescent="0.2">
      <c r="A1504" s="881"/>
      <c r="B1504" s="881"/>
      <c r="C1504" s="881"/>
      <c r="D1504" s="881"/>
      <c r="E1504" s="881"/>
      <c r="R1504" s="882"/>
      <c r="S1504" s="882"/>
      <c r="T1504" s="882"/>
      <c r="U1504" s="882"/>
      <c r="V1504" s="882"/>
      <c r="W1504" s="882"/>
      <c r="X1504" s="882"/>
      <c r="Y1504" s="882"/>
    </row>
    <row r="1505" spans="1:25" x14ac:dyDescent="0.2">
      <c r="A1505" s="881"/>
      <c r="B1505" s="881"/>
      <c r="C1505" s="881"/>
      <c r="D1505" s="881"/>
      <c r="E1505" s="881"/>
      <c r="R1505" s="882"/>
      <c r="S1505" s="882"/>
      <c r="T1505" s="882"/>
      <c r="U1505" s="882"/>
      <c r="V1505" s="882"/>
      <c r="W1505" s="882"/>
      <c r="X1505" s="882"/>
      <c r="Y1505" s="882"/>
    </row>
    <row r="1506" spans="1:25" x14ac:dyDescent="0.2">
      <c r="A1506" s="881"/>
      <c r="B1506" s="881"/>
      <c r="C1506" s="881"/>
      <c r="D1506" s="881"/>
      <c r="E1506" s="881"/>
      <c r="R1506" s="882"/>
      <c r="S1506" s="882"/>
      <c r="T1506" s="882"/>
      <c r="U1506" s="882"/>
      <c r="V1506" s="882"/>
      <c r="W1506" s="882"/>
      <c r="X1506" s="882"/>
      <c r="Y1506" s="882"/>
    </row>
    <row r="1507" spans="1:25" x14ac:dyDescent="0.2">
      <c r="A1507" s="881"/>
      <c r="B1507" s="881"/>
      <c r="C1507" s="881"/>
      <c r="D1507" s="881"/>
      <c r="E1507" s="881"/>
      <c r="R1507" s="882"/>
      <c r="S1507" s="882"/>
      <c r="T1507" s="882"/>
      <c r="U1507" s="882"/>
      <c r="V1507" s="882"/>
      <c r="W1507" s="882"/>
      <c r="X1507" s="882"/>
      <c r="Y1507" s="882"/>
    </row>
    <row r="1508" spans="1:25" x14ac:dyDescent="0.2">
      <c r="A1508" s="881"/>
      <c r="B1508" s="881"/>
      <c r="C1508" s="881"/>
      <c r="D1508" s="881"/>
      <c r="E1508" s="881"/>
      <c r="R1508" s="882"/>
      <c r="S1508" s="882"/>
      <c r="T1508" s="882"/>
      <c r="U1508" s="882"/>
      <c r="V1508" s="882"/>
      <c r="W1508" s="882"/>
      <c r="X1508" s="882"/>
      <c r="Y1508" s="882"/>
    </row>
    <row r="1509" spans="1:25" x14ac:dyDescent="0.2">
      <c r="A1509" s="881"/>
      <c r="B1509" s="881"/>
      <c r="C1509" s="881"/>
      <c r="D1509" s="881"/>
      <c r="E1509" s="881"/>
      <c r="R1509" s="882"/>
      <c r="S1509" s="882"/>
      <c r="T1509" s="882"/>
      <c r="U1509" s="882"/>
      <c r="V1509" s="882"/>
      <c r="W1509" s="882"/>
      <c r="X1509" s="882"/>
      <c r="Y1509" s="882"/>
    </row>
    <row r="1510" spans="1:25" x14ac:dyDescent="0.2">
      <c r="A1510" s="881"/>
      <c r="B1510" s="881"/>
      <c r="C1510" s="881"/>
      <c r="D1510" s="881"/>
      <c r="E1510" s="881"/>
      <c r="R1510" s="882"/>
      <c r="S1510" s="882"/>
      <c r="T1510" s="882"/>
      <c r="U1510" s="882"/>
      <c r="V1510" s="882"/>
      <c r="W1510" s="882"/>
      <c r="X1510" s="882"/>
      <c r="Y1510" s="882"/>
    </row>
    <row r="1511" spans="1:25" x14ac:dyDescent="0.2">
      <c r="A1511" s="881"/>
      <c r="B1511" s="881"/>
      <c r="C1511" s="881"/>
      <c r="D1511" s="881"/>
      <c r="E1511" s="881"/>
      <c r="R1511" s="882"/>
      <c r="S1511" s="882"/>
      <c r="T1511" s="882"/>
      <c r="U1511" s="882"/>
      <c r="V1511" s="882"/>
      <c r="W1511" s="882"/>
      <c r="X1511" s="882"/>
      <c r="Y1511" s="882"/>
    </row>
    <row r="1512" spans="1:25" x14ac:dyDescent="0.2">
      <c r="A1512" s="881"/>
      <c r="B1512" s="881"/>
      <c r="C1512" s="881"/>
      <c r="D1512" s="881"/>
      <c r="E1512" s="881"/>
      <c r="R1512" s="882"/>
      <c r="S1512" s="882"/>
      <c r="T1512" s="882"/>
      <c r="U1512" s="882"/>
      <c r="V1512" s="882"/>
      <c r="W1512" s="882"/>
      <c r="X1512" s="882"/>
      <c r="Y1512" s="882"/>
    </row>
    <row r="1513" spans="1:25" x14ac:dyDescent="0.2">
      <c r="A1513" s="881"/>
      <c r="B1513" s="881"/>
      <c r="C1513" s="881"/>
      <c r="D1513" s="881"/>
      <c r="E1513" s="881"/>
      <c r="R1513" s="882"/>
      <c r="S1513" s="882"/>
      <c r="T1513" s="882"/>
      <c r="U1513" s="882"/>
      <c r="V1513" s="882"/>
      <c r="W1513" s="882"/>
      <c r="X1513" s="882"/>
      <c r="Y1513" s="882"/>
    </row>
    <row r="1514" spans="1:25" x14ac:dyDescent="0.2">
      <c r="A1514" s="881"/>
      <c r="B1514" s="881"/>
      <c r="C1514" s="881"/>
      <c r="D1514" s="881"/>
      <c r="E1514" s="881"/>
      <c r="R1514" s="882"/>
      <c r="S1514" s="882"/>
      <c r="T1514" s="882"/>
      <c r="U1514" s="882"/>
      <c r="V1514" s="882"/>
      <c r="W1514" s="882"/>
      <c r="X1514" s="882"/>
      <c r="Y1514" s="882"/>
    </row>
    <row r="1515" spans="1:25" x14ac:dyDescent="0.2">
      <c r="A1515" s="881"/>
      <c r="B1515" s="881"/>
      <c r="C1515" s="881"/>
      <c r="D1515" s="881"/>
      <c r="E1515" s="881"/>
      <c r="R1515" s="882"/>
      <c r="S1515" s="882"/>
      <c r="T1515" s="882"/>
      <c r="U1515" s="882"/>
      <c r="V1515" s="882"/>
      <c r="W1515" s="882"/>
      <c r="X1515" s="882"/>
      <c r="Y1515" s="882"/>
    </row>
    <row r="1516" spans="1:25" x14ac:dyDescent="0.2">
      <c r="A1516" s="881"/>
      <c r="B1516" s="881"/>
      <c r="C1516" s="881"/>
      <c r="D1516" s="881"/>
      <c r="E1516" s="881"/>
      <c r="R1516" s="882"/>
      <c r="S1516" s="882"/>
      <c r="T1516" s="882"/>
      <c r="U1516" s="882"/>
      <c r="V1516" s="882"/>
      <c r="W1516" s="882"/>
      <c r="X1516" s="882"/>
      <c r="Y1516" s="882"/>
    </row>
    <row r="1517" spans="1:25" x14ac:dyDescent="0.2">
      <c r="A1517" s="881"/>
      <c r="B1517" s="881"/>
      <c r="C1517" s="881"/>
      <c r="D1517" s="881"/>
      <c r="E1517" s="881"/>
      <c r="R1517" s="882"/>
      <c r="S1517" s="882"/>
      <c r="T1517" s="882"/>
      <c r="U1517" s="882"/>
      <c r="V1517" s="882"/>
      <c r="W1517" s="882"/>
      <c r="X1517" s="882"/>
      <c r="Y1517" s="882"/>
    </row>
    <row r="1518" spans="1:25" x14ac:dyDescent="0.2">
      <c r="A1518" s="881"/>
      <c r="B1518" s="881"/>
      <c r="C1518" s="881"/>
      <c r="D1518" s="881"/>
      <c r="E1518" s="881"/>
      <c r="R1518" s="882"/>
      <c r="S1518" s="882"/>
      <c r="T1518" s="882"/>
      <c r="U1518" s="882"/>
      <c r="V1518" s="882"/>
      <c r="W1518" s="882"/>
      <c r="X1518" s="882"/>
      <c r="Y1518" s="882"/>
    </row>
    <row r="1519" spans="1:25" x14ac:dyDescent="0.2">
      <c r="A1519" s="881"/>
      <c r="B1519" s="881"/>
      <c r="C1519" s="881"/>
      <c r="D1519" s="881"/>
      <c r="E1519" s="881"/>
      <c r="R1519" s="882"/>
      <c r="S1519" s="882"/>
      <c r="T1519" s="882"/>
      <c r="U1519" s="882"/>
      <c r="V1519" s="882"/>
      <c r="W1519" s="882"/>
      <c r="X1519" s="882"/>
      <c r="Y1519" s="882"/>
    </row>
    <row r="1520" spans="1:25" x14ac:dyDescent="0.2">
      <c r="A1520" s="881"/>
      <c r="B1520" s="881"/>
      <c r="C1520" s="881"/>
      <c r="D1520" s="881"/>
      <c r="E1520" s="881"/>
      <c r="R1520" s="882"/>
      <c r="S1520" s="882"/>
      <c r="T1520" s="882"/>
      <c r="U1520" s="882"/>
      <c r="V1520" s="882"/>
      <c r="W1520" s="882"/>
      <c r="X1520" s="882"/>
      <c r="Y1520" s="882"/>
    </row>
    <row r="1521" spans="1:25" x14ac:dyDescent="0.2">
      <c r="A1521" s="881"/>
      <c r="B1521" s="881"/>
      <c r="C1521" s="881"/>
      <c r="D1521" s="881"/>
      <c r="E1521" s="881"/>
      <c r="R1521" s="882"/>
      <c r="S1521" s="882"/>
      <c r="T1521" s="882"/>
      <c r="U1521" s="882"/>
      <c r="V1521" s="882"/>
      <c r="W1521" s="882"/>
      <c r="X1521" s="882"/>
      <c r="Y1521" s="882"/>
    </row>
    <row r="1522" spans="1:25" x14ac:dyDescent="0.2">
      <c r="A1522" s="881"/>
      <c r="B1522" s="881"/>
      <c r="C1522" s="881"/>
      <c r="D1522" s="881"/>
      <c r="E1522" s="881"/>
      <c r="R1522" s="882"/>
      <c r="S1522" s="882"/>
      <c r="T1522" s="882"/>
      <c r="U1522" s="882"/>
      <c r="V1522" s="882"/>
      <c r="W1522" s="882"/>
      <c r="X1522" s="882"/>
      <c r="Y1522" s="882"/>
    </row>
    <row r="1523" spans="1:25" x14ac:dyDescent="0.2">
      <c r="A1523" s="881"/>
      <c r="B1523" s="881"/>
      <c r="C1523" s="881"/>
      <c r="D1523" s="881"/>
      <c r="E1523" s="881"/>
      <c r="R1523" s="882"/>
      <c r="S1523" s="882"/>
      <c r="T1523" s="882"/>
      <c r="U1523" s="882"/>
      <c r="V1523" s="882"/>
      <c r="W1523" s="882"/>
      <c r="X1523" s="882"/>
      <c r="Y1523" s="882"/>
    </row>
    <row r="1524" spans="1:25" x14ac:dyDescent="0.2">
      <c r="A1524" s="881"/>
      <c r="B1524" s="881"/>
      <c r="C1524" s="881"/>
      <c r="D1524" s="881"/>
      <c r="E1524" s="881"/>
      <c r="R1524" s="882"/>
      <c r="S1524" s="882"/>
      <c r="T1524" s="882"/>
      <c r="U1524" s="882"/>
      <c r="V1524" s="882"/>
      <c r="W1524" s="882"/>
      <c r="X1524" s="882"/>
      <c r="Y1524" s="882"/>
    </row>
    <row r="1525" spans="1:25" x14ac:dyDescent="0.2">
      <c r="A1525" s="881"/>
      <c r="B1525" s="881"/>
      <c r="C1525" s="881"/>
      <c r="D1525" s="881"/>
      <c r="E1525" s="881"/>
      <c r="R1525" s="882"/>
      <c r="S1525" s="882"/>
      <c r="T1525" s="882"/>
      <c r="U1525" s="882"/>
      <c r="V1525" s="882"/>
      <c r="W1525" s="882"/>
      <c r="X1525" s="882"/>
      <c r="Y1525" s="882"/>
    </row>
    <row r="1526" spans="1:25" x14ac:dyDescent="0.2">
      <c r="A1526" s="881"/>
      <c r="B1526" s="881"/>
      <c r="C1526" s="881"/>
      <c r="D1526" s="881"/>
      <c r="E1526" s="881"/>
      <c r="R1526" s="882"/>
      <c r="S1526" s="882"/>
      <c r="T1526" s="882"/>
      <c r="U1526" s="882"/>
      <c r="V1526" s="882"/>
      <c r="W1526" s="882"/>
      <c r="X1526" s="882"/>
      <c r="Y1526" s="882"/>
    </row>
    <row r="1527" spans="1:25" x14ac:dyDescent="0.2">
      <c r="A1527" s="881"/>
      <c r="B1527" s="881"/>
      <c r="C1527" s="881"/>
      <c r="D1527" s="881"/>
      <c r="E1527" s="881"/>
      <c r="R1527" s="882"/>
      <c r="S1527" s="882"/>
      <c r="T1527" s="882"/>
      <c r="U1527" s="882"/>
      <c r="V1527" s="882"/>
      <c r="W1527" s="882"/>
      <c r="X1527" s="882"/>
      <c r="Y1527" s="882"/>
    </row>
    <row r="1528" spans="1:25" x14ac:dyDescent="0.2">
      <c r="A1528" s="881"/>
      <c r="B1528" s="881"/>
      <c r="C1528" s="881"/>
      <c r="D1528" s="881"/>
      <c r="E1528" s="881"/>
      <c r="R1528" s="882"/>
      <c r="S1528" s="882"/>
      <c r="T1528" s="882"/>
      <c r="U1528" s="882"/>
      <c r="V1528" s="882"/>
      <c r="W1528" s="882"/>
      <c r="X1528" s="882"/>
      <c r="Y1528" s="882"/>
    </row>
    <row r="1529" spans="1:25" x14ac:dyDescent="0.2">
      <c r="A1529" s="881"/>
      <c r="B1529" s="881"/>
      <c r="C1529" s="881"/>
      <c r="D1529" s="881"/>
      <c r="E1529" s="881"/>
      <c r="R1529" s="882"/>
      <c r="S1529" s="882"/>
      <c r="T1529" s="882"/>
      <c r="U1529" s="882"/>
      <c r="V1529" s="882"/>
      <c r="W1529" s="882"/>
      <c r="X1529" s="882"/>
      <c r="Y1529" s="882"/>
    </row>
    <row r="1530" spans="1:25" x14ac:dyDescent="0.2">
      <c r="A1530" s="881"/>
      <c r="B1530" s="881"/>
      <c r="C1530" s="881"/>
      <c r="D1530" s="881"/>
      <c r="E1530" s="881"/>
      <c r="R1530" s="882"/>
      <c r="S1530" s="882"/>
      <c r="T1530" s="882"/>
      <c r="U1530" s="882"/>
      <c r="V1530" s="882"/>
      <c r="W1530" s="882"/>
      <c r="X1530" s="882"/>
      <c r="Y1530" s="882"/>
    </row>
    <row r="1531" spans="1:25" x14ac:dyDescent="0.2">
      <c r="A1531" s="881"/>
      <c r="B1531" s="881"/>
      <c r="C1531" s="881"/>
      <c r="D1531" s="881"/>
      <c r="E1531" s="881"/>
      <c r="R1531" s="882"/>
      <c r="S1531" s="882"/>
      <c r="T1531" s="882"/>
      <c r="U1531" s="882"/>
      <c r="V1531" s="882"/>
      <c r="W1531" s="882"/>
      <c r="X1531" s="882"/>
      <c r="Y1531" s="882"/>
    </row>
    <row r="1532" spans="1:25" x14ac:dyDescent="0.2">
      <c r="A1532" s="881"/>
      <c r="B1532" s="881"/>
      <c r="C1532" s="881"/>
      <c r="D1532" s="881"/>
      <c r="E1532" s="881"/>
      <c r="R1532" s="882"/>
      <c r="S1532" s="882"/>
      <c r="T1532" s="882"/>
      <c r="U1532" s="882"/>
      <c r="V1532" s="882"/>
      <c r="W1532" s="882"/>
      <c r="X1532" s="882"/>
      <c r="Y1532" s="882"/>
    </row>
    <row r="1533" spans="1:25" x14ac:dyDescent="0.2">
      <c r="A1533" s="881"/>
      <c r="B1533" s="881"/>
      <c r="C1533" s="881"/>
      <c r="D1533" s="881"/>
      <c r="E1533" s="881"/>
      <c r="R1533" s="882"/>
      <c r="S1533" s="882"/>
      <c r="T1533" s="882"/>
      <c r="U1533" s="882"/>
      <c r="V1533" s="882"/>
      <c r="W1533" s="882"/>
      <c r="X1533" s="882"/>
      <c r="Y1533" s="882"/>
    </row>
    <row r="1534" spans="1:25" x14ac:dyDescent="0.2">
      <c r="A1534" s="881"/>
      <c r="B1534" s="881"/>
      <c r="C1534" s="881"/>
      <c r="D1534" s="881"/>
      <c r="E1534" s="881"/>
      <c r="R1534" s="882"/>
      <c r="S1534" s="882"/>
      <c r="T1534" s="882"/>
      <c r="U1534" s="882"/>
      <c r="V1534" s="882"/>
      <c r="W1534" s="882"/>
      <c r="X1534" s="882"/>
      <c r="Y1534" s="882"/>
    </row>
    <row r="1535" spans="1:25" x14ac:dyDescent="0.2">
      <c r="A1535" s="881"/>
      <c r="B1535" s="881"/>
      <c r="C1535" s="881"/>
      <c r="D1535" s="881"/>
      <c r="E1535" s="881"/>
      <c r="R1535" s="882"/>
      <c r="S1535" s="882"/>
      <c r="T1535" s="882"/>
      <c r="U1535" s="882"/>
      <c r="V1535" s="882"/>
      <c r="W1535" s="882"/>
      <c r="X1535" s="882"/>
      <c r="Y1535" s="882"/>
    </row>
    <row r="1536" spans="1:25" x14ac:dyDescent="0.2">
      <c r="A1536" s="881"/>
      <c r="B1536" s="881"/>
      <c r="C1536" s="881"/>
      <c r="D1536" s="881"/>
      <c r="E1536" s="881"/>
      <c r="R1536" s="882"/>
      <c r="S1536" s="882"/>
      <c r="T1536" s="882"/>
      <c r="U1536" s="882"/>
      <c r="V1536" s="882"/>
      <c r="W1536" s="882"/>
      <c r="X1536" s="882"/>
      <c r="Y1536" s="882"/>
    </row>
    <row r="1537" spans="1:25" x14ac:dyDescent="0.2">
      <c r="A1537" s="881"/>
      <c r="B1537" s="881"/>
      <c r="C1537" s="881"/>
      <c r="D1537" s="881"/>
      <c r="E1537" s="881"/>
      <c r="R1537" s="882"/>
      <c r="S1537" s="882"/>
      <c r="T1537" s="882"/>
      <c r="U1537" s="882"/>
      <c r="V1537" s="882"/>
      <c r="W1537" s="882"/>
      <c r="X1537" s="882"/>
      <c r="Y1537" s="882"/>
    </row>
    <row r="1538" spans="1:25" x14ac:dyDescent="0.2">
      <c r="A1538" s="881"/>
      <c r="B1538" s="881"/>
      <c r="C1538" s="881"/>
      <c r="D1538" s="881"/>
      <c r="E1538" s="881"/>
      <c r="R1538" s="882"/>
      <c r="S1538" s="882"/>
      <c r="T1538" s="882"/>
      <c r="U1538" s="882"/>
      <c r="V1538" s="882"/>
      <c r="W1538" s="882"/>
      <c r="X1538" s="882"/>
      <c r="Y1538" s="882"/>
    </row>
    <row r="1539" spans="1:25" x14ac:dyDescent="0.2">
      <c r="A1539" s="881"/>
      <c r="B1539" s="881"/>
      <c r="C1539" s="881"/>
      <c r="D1539" s="881"/>
      <c r="E1539" s="881"/>
      <c r="R1539" s="882"/>
      <c r="S1539" s="882"/>
      <c r="T1539" s="882"/>
      <c r="U1539" s="882"/>
      <c r="V1539" s="882"/>
      <c r="W1539" s="882"/>
      <c r="X1539" s="882"/>
      <c r="Y1539" s="882"/>
    </row>
    <row r="1540" spans="1:25" x14ac:dyDescent="0.2">
      <c r="A1540" s="881"/>
      <c r="B1540" s="881"/>
      <c r="C1540" s="881"/>
      <c r="D1540" s="881"/>
      <c r="E1540" s="881"/>
      <c r="R1540" s="882"/>
      <c r="S1540" s="882"/>
      <c r="T1540" s="882"/>
      <c r="U1540" s="882"/>
      <c r="V1540" s="882"/>
      <c r="W1540" s="882"/>
      <c r="X1540" s="882"/>
      <c r="Y1540" s="882"/>
    </row>
    <row r="1541" spans="1:25" x14ac:dyDescent="0.2">
      <c r="A1541" s="881"/>
      <c r="B1541" s="881"/>
      <c r="C1541" s="881"/>
      <c r="D1541" s="881"/>
      <c r="E1541" s="881"/>
      <c r="R1541" s="882"/>
      <c r="S1541" s="882"/>
      <c r="T1541" s="882"/>
      <c r="U1541" s="882"/>
      <c r="V1541" s="882"/>
      <c r="W1541" s="882"/>
      <c r="X1541" s="882"/>
      <c r="Y1541" s="882"/>
    </row>
    <row r="1542" spans="1:25" x14ac:dyDescent="0.2">
      <c r="A1542" s="881"/>
      <c r="B1542" s="881"/>
      <c r="C1542" s="881"/>
      <c r="D1542" s="881"/>
      <c r="E1542" s="881"/>
      <c r="R1542" s="882"/>
      <c r="S1542" s="882"/>
      <c r="T1542" s="882"/>
      <c r="U1542" s="882"/>
      <c r="V1542" s="882"/>
      <c r="W1542" s="882"/>
      <c r="X1542" s="882"/>
      <c r="Y1542" s="882"/>
    </row>
    <row r="1543" spans="1:25" x14ac:dyDescent="0.2">
      <c r="A1543" s="881"/>
      <c r="B1543" s="881"/>
      <c r="C1543" s="881"/>
      <c r="D1543" s="881"/>
      <c r="E1543" s="881"/>
      <c r="R1543" s="882"/>
      <c r="S1543" s="882"/>
      <c r="T1543" s="882"/>
      <c r="U1543" s="882"/>
      <c r="V1543" s="882"/>
      <c r="W1543" s="882"/>
      <c r="X1543" s="882"/>
      <c r="Y1543" s="882"/>
    </row>
    <row r="1544" spans="1:25" x14ac:dyDescent="0.2">
      <c r="A1544" s="881"/>
      <c r="B1544" s="881"/>
      <c r="C1544" s="881"/>
      <c r="D1544" s="881"/>
      <c r="E1544" s="881"/>
      <c r="R1544" s="882"/>
      <c r="S1544" s="882"/>
      <c r="T1544" s="882"/>
      <c r="U1544" s="882"/>
      <c r="V1544" s="882"/>
      <c r="W1544" s="882"/>
      <c r="X1544" s="882"/>
      <c r="Y1544" s="882"/>
    </row>
    <row r="1545" spans="1:25" x14ac:dyDescent="0.2">
      <c r="A1545" s="881"/>
      <c r="B1545" s="881"/>
      <c r="C1545" s="881"/>
      <c r="D1545" s="881"/>
      <c r="E1545" s="881"/>
      <c r="R1545" s="882"/>
      <c r="S1545" s="882"/>
      <c r="T1545" s="882"/>
      <c r="U1545" s="882"/>
      <c r="V1545" s="882"/>
      <c r="W1545" s="882"/>
      <c r="X1545" s="882"/>
      <c r="Y1545" s="882"/>
    </row>
    <row r="1546" spans="1:25" x14ac:dyDescent="0.2">
      <c r="A1546" s="881"/>
      <c r="B1546" s="881"/>
      <c r="C1546" s="881"/>
      <c r="D1546" s="881"/>
      <c r="E1546" s="881"/>
      <c r="R1546" s="882"/>
      <c r="S1546" s="882"/>
      <c r="T1546" s="882"/>
      <c r="U1546" s="882"/>
      <c r="V1546" s="882"/>
      <c r="W1546" s="882"/>
      <c r="X1546" s="882"/>
      <c r="Y1546" s="882"/>
    </row>
    <row r="1547" spans="1:25" x14ac:dyDescent="0.2">
      <c r="A1547" s="881"/>
      <c r="B1547" s="881"/>
      <c r="C1547" s="881"/>
      <c r="D1547" s="881"/>
      <c r="E1547" s="881"/>
      <c r="R1547" s="882"/>
      <c r="S1547" s="882"/>
      <c r="T1547" s="882"/>
      <c r="U1547" s="882"/>
      <c r="V1547" s="882"/>
      <c r="W1547" s="882"/>
      <c r="X1547" s="882"/>
      <c r="Y1547" s="882"/>
    </row>
    <row r="1548" spans="1:25" x14ac:dyDescent="0.2">
      <c r="A1548" s="881"/>
      <c r="B1548" s="881"/>
      <c r="C1548" s="881"/>
      <c r="D1548" s="881"/>
      <c r="E1548" s="881"/>
      <c r="R1548" s="882"/>
      <c r="S1548" s="882"/>
      <c r="T1548" s="882"/>
      <c r="U1548" s="882"/>
      <c r="V1548" s="882"/>
      <c r="W1548" s="882"/>
      <c r="X1548" s="882"/>
      <c r="Y1548" s="882"/>
    </row>
    <row r="1549" spans="1:25" x14ac:dyDescent="0.2">
      <c r="A1549" s="881"/>
      <c r="B1549" s="881"/>
      <c r="C1549" s="881"/>
      <c r="D1549" s="881"/>
      <c r="E1549" s="881"/>
      <c r="R1549" s="882"/>
      <c r="S1549" s="882"/>
      <c r="T1549" s="882"/>
      <c r="U1549" s="882"/>
      <c r="V1549" s="882"/>
      <c r="W1549" s="882"/>
      <c r="X1549" s="882"/>
      <c r="Y1549" s="882"/>
    </row>
    <row r="1550" spans="1:25" x14ac:dyDescent="0.2">
      <c r="A1550" s="881"/>
      <c r="B1550" s="881"/>
      <c r="C1550" s="881"/>
      <c r="D1550" s="881"/>
      <c r="E1550" s="881"/>
      <c r="R1550" s="882"/>
      <c r="S1550" s="882"/>
      <c r="T1550" s="882"/>
      <c r="U1550" s="882"/>
      <c r="V1550" s="882"/>
      <c r="W1550" s="882"/>
      <c r="X1550" s="882"/>
      <c r="Y1550" s="882"/>
    </row>
    <row r="1551" spans="1:25" x14ac:dyDescent="0.2">
      <c r="A1551" s="881"/>
      <c r="B1551" s="881"/>
      <c r="C1551" s="881"/>
      <c r="D1551" s="881"/>
      <c r="E1551" s="881"/>
      <c r="R1551" s="882"/>
      <c r="S1551" s="882"/>
      <c r="T1551" s="882"/>
      <c r="U1551" s="882"/>
      <c r="V1551" s="882"/>
      <c r="W1551" s="882"/>
      <c r="X1551" s="882"/>
      <c r="Y1551" s="882"/>
    </row>
    <row r="1552" spans="1:25" x14ac:dyDescent="0.2">
      <c r="A1552" s="881"/>
      <c r="B1552" s="881"/>
      <c r="C1552" s="881"/>
      <c r="D1552" s="881"/>
      <c r="E1552" s="881"/>
      <c r="R1552" s="882"/>
      <c r="S1552" s="882"/>
      <c r="T1552" s="882"/>
      <c r="U1552" s="882"/>
      <c r="V1552" s="882"/>
      <c r="W1552" s="882"/>
      <c r="X1552" s="882"/>
      <c r="Y1552" s="882"/>
    </row>
    <row r="1553" spans="1:25" x14ac:dyDescent="0.2">
      <c r="A1553" s="881"/>
      <c r="B1553" s="881"/>
      <c r="C1553" s="881"/>
      <c r="D1553" s="881"/>
      <c r="E1553" s="881"/>
      <c r="R1553" s="882"/>
      <c r="S1553" s="882"/>
      <c r="T1553" s="882"/>
      <c r="U1553" s="882"/>
      <c r="V1553" s="882"/>
      <c r="W1553" s="882"/>
      <c r="X1553" s="882"/>
      <c r="Y1553" s="882"/>
    </row>
    <row r="1554" spans="1:25" x14ac:dyDescent="0.2">
      <c r="A1554" s="881"/>
      <c r="B1554" s="881"/>
      <c r="C1554" s="881"/>
      <c r="D1554" s="881"/>
      <c r="E1554" s="881"/>
      <c r="R1554" s="882"/>
      <c r="S1554" s="882"/>
      <c r="T1554" s="882"/>
      <c r="U1554" s="882"/>
      <c r="V1554" s="882"/>
      <c r="W1554" s="882"/>
      <c r="X1554" s="882"/>
      <c r="Y1554" s="882"/>
    </row>
    <row r="1555" spans="1:25" x14ac:dyDescent="0.2">
      <c r="A1555" s="881"/>
      <c r="B1555" s="881"/>
      <c r="C1555" s="881"/>
      <c r="D1555" s="881"/>
      <c r="E1555" s="881"/>
      <c r="R1555" s="882"/>
      <c r="S1555" s="882"/>
      <c r="T1555" s="882"/>
      <c r="U1555" s="882"/>
      <c r="V1555" s="882"/>
      <c r="W1555" s="882"/>
      <c r="X1555" s="882"/>
      <c r="Y1555" s="882"/>
    </row>
    <row r="1556" spans="1:25" x14ac:dyDescent="0.2">
      <c r="A1556" s="881"/>
      <c r="B1556" s="881"/>
      <c r="C1556" s="881"/>
      <c r="D1556" s="881"/>
      <c r="E1556" s="881"/>
      <c r="R1556" s="882"/>
      <c r="S1556" s="882"/>
      <c r="T1556" s="882"/>
      <c r="U1556" s="882"/>
      <c r="V1556" s="882"/>
      <c r="W1556" s="882"/>
      <c r="X1556" s="882"/>
      <c r="Y1556" s="882"/>
    </row>
    <row r="1557" spans="1:25" x14ac:dyDescent="0.2">
      <c r="A1557" s="881"/>
      <c r="B1557" s="881"/>
      <c r="C1557" s="881"/>
      <c r="D1557" s="881"/>
      <c r="E1557" s="881"/>
      <c r="R1557" s="882"/>
      <c r="S1557" s="882"/>
      <c r="T1557" s="882"/>
      <c r="U1557" s="882"/>
      <c r="V1557" s="882"/>
      <c r="W1557" s="882"/>
      <c r="X1557" s="882"/>
      <c r="Y1557" s="882"/>
    </row>
    <row r="1558" spans="1:25" x14ac:dyDescent="0.2">
      <c r="A1558" s="881"/>
      <c r="B1558" s="881"/>
      <c r="C1558" s="881"/>
      <c r="D1558" s="881"/>
      <c r="E1558" s="881"/>
      <c r="R1558" s="882"/>
      <c r="S1558" s="882"/>
      <c r="T1558" s="882"/>
      <c r="U1558" s="882"/>
      <c r="V1558" s="882"/>
      <c r="W1558" s="882"/>
      <c r="X1558" s="882"/>
      <c r="Y1558" s="882"/>
    </row>
    <row r="1559" spans="1:25" x14ac:dyDescent="0.2">
      <c r="A1559" s="881"/>
      <c r="B1559" s="881"/>
      <c r="C1559" s="881"/>
      <c r="D1559" s="881"/>
      <c r="E1559" s="881"/>
      <c r="R1559" s="882"/>
      <c r="S1559" s="882"/>
      <c r="T1559" s="882"/>
      <c r="U1559" s="882"/>
      <c r="V1559" s="882"/>
      <c r="W1559" s="882"/>
      <c r="X1559" s="882"/>
      <c r="Y1559" s="882"/>
    </row>
    <row r="1560" spans="1:25" x14ac:dyDescent="0.2">
      <c r="A1560" s="881"/>
      <c r="B1560" s="881"/>
      <c r="C1560" s="881"/>
      <c r="D1560" s="881"/>
      <c r="E1560" s="881"/>
      <c r="R1560" s="882"/>
      <c r="S1560" s="882"/>
      <c r="T1560" s="882"/>
      <c r="U1560" s="882"/>
      <c r="V1560" s="882"/>
      <c r="W1560" s="882"/>
      <c r="X1560" s="882"/>
      <c r="Y1560" s="882"/>
    </row>
    <row r="1561" spans="1:25" x14ac:dyDescent="0.2">
      <c r="A1561" s="881"/>
      <c r="B1561" s="881"/>
      <c r="C1561" s="881"/>
      <c r="D1561" s="881"/>
      <c r="E1561" s="881"/>
      <c r="R1561" s="882"/>
      <c r="S1561" s="882"/>
      <c r="T1561" s="882"/>
      <c r="U1561" s="882"/>
      <c r="V1561" s="882"/>
      <c r="W1561" s="882"/>
      <c r="X1561" s="882"/>
      <c r="Y1561" s="882"/>
    </row>
    <row r="1562" spans="1:25" x14ac:dyDescent="0.2">
      <c r="A1562" s="881"/>
      <c r="B1562" s="881"/>
      <c r="C1562" s="881"/>
      <c r="D1562" s="881"/>
      <c r="E1562" s="881"/>
      <c r="R1562" s="882"/>
      <c r="S1562" s="882"/>
      <c r="T1562" s="882"/>
      <c r="U1562" s="882"/>
      <c r="V1562" s="882"/>
      <c r="W1562" s="882"/>
      <c r="X1562" s="882"/>
      <c r="Y1562" s="882"/>
    </row>
    <row r="1563" spans="1:25" x14ac:dyDescent="0.2">
      <c r="A1563" s="881"/>
      <c r="B1563" s="881"/>
      <c r="C1563" s="881"/>
      <c r="D1563" s="881"/>
      <c r="E1563" s="881"/>
      <c r="R1563" s="882"/>
      <c r="S1563" s="882"/>
      <c r="T1563" s="882"/>
      <c r="U1563" s="882"/>
      <c r="V1563" s="882"/>
      <c r="W1563" s="882"/>
      <c r="X1563" s="882"/>
      <c r="Y1563" s="882"/>
    </row>
    <row r="1564" spans="1:25" x14ac:dyDescent="0.2">
      <c r="A1564" s="881"/>
      <c r="B1564" s="881"/>
      <c r="C1564" s="881"/>
      <c r="D1564" s="881"/>
      <c r="E1564" s="881"/>
      <c r="R1564" s="882"/>
      <c r="S1564" s="882"/>
      <c r="T1564" s="882"/>
      <c r="U1564" s="882"/>
      <c r="V1564" s="882"/>
      <c r="W1564" s="882"/>
      <c r="X1564" s="882"/>
      <c r="Y1564" s="882"/>
    </row>
    <row r="1565" spans="1:25" x14ac:dyDescent="0.2">
      <c r="A1565" s="881"/>
      <c r="B1565" s="881"/>
      <c r="C1565" s="881"/>
      <c r="D1565" s="881"/>
      <c r="E1565" s="881"/>
      <c r="R1565" s="882"/>
      <c r="S1565" s="882"/>
      <c r="T1565" s="882"/>
      <c r="U1565" s="882"/>
      <c r="V1565" s="882"/>
      <c r="W1565" s="882"/>
      <c r="X1565" s="882"/>
      <c r="Y1565" s="882"/>
    </row>
    <row r="1566" spans="1:25" x14ac:dyDescent="0.2">
      <c r="A1566" s="881"/>
      <c r="B1566" s="881"/>
      <c r="C1566" s="881"/>
      <c r="D1566" s="881"/>
      <c r="E1566" s="881"/>
      <c r="R1566" s="882"/>
      <c r="S1566" s="882"/>
      <c r="T1566" s="882"/>
      <c r="U1566" s="882"/>
      <c r="V1566" s="882"/>
      <c r="W1566" s="882"/>
      <c r="X1566" s="882"/>
      <c r="Y1566" s="882"/>
    </row>
    <row r="1567" spans="1:25" x14ac:dyDescent="0.2">
      <c r="A1567" s="881"/>
      <c r="B1567" s="881"/>
      <c r="C1567" s="881"/>
      <c r="D1567" s="881"/>
      <c r="E1567" s="881"/>
      <c r="R1567" s="882"/>
      <c r="S1567" s="882"/>
      <c r="T1567" s="882"/>
      <c r="U1567" s="882"/>
      <c r="V1567" s="882"/>
      <c r="W1567" s="882"/>
      <c r="X1567" s="882"/>
      <c r="Y1567" s="882"/>
    </row>
    <row r="1568" spans="1:25" x14ac:dyDescent="0.2">
      <c r="A1568" s="881"/>
      <c r="B1568" s="881"/>
      <c r="C1568" s="881"/>
      <c r="D1568" s="881"/>
      <c r="E1568" s="881"/>
      <c r="R1568" s="882"/>
      <c r="S1568" s="882"/>
      <c r="T1568" s="882"/>
      <c r="U1568" s="882"/>
      <c r="V1568" s="882"/>
      <c r="W1568" s="882"/>
      <c r="X1568" s="882"/>
      <c r="Y1568" s="882"/>
    </row>
    <row r="1569" spans="1:25" x14ac:dyDescent="0.2">
      <c r="A1569" s="881"/>
      <c r="B1569" s="881"/>
      <c r="C1569" s="881"/>
      <c r="D1569" s="881"/>
      <c r="E1569" s="881"/>
      <c r="R1569" s="882"/>
      <c r="S1569" s="882"/>
      <c r="T1569" s="882"/>
      <c r="U1569" s="882"/>
      <c r="V1569" s="882"/>
      <c r="W1569" s="882"/>
      <c r="X1569" s="882"/>
      <c r="Y1569" s="882"/>
    </row>
    <row r="1570" spans="1:25" x14ac:dyDescent="0.2">
      <c r="A1570" s="881"/>
      <c r="B1570" s="881"/>
      <c r="C1570" s="881"/>
      <c r="D1570" s="881"/>
      <c r="E1570" s="881"/>
      <c r="R1570" s="882"/>
      <c r="S1570" s="882"/>
      <c r="T1570" s="882"/>
      <c r="U1570" s="882"/>
      <c r="V1570" s="882"/>
      <c r="W1570" s="882"/>
      <c r="X1570" s="882"/>
      <c r="Y1570" s="882"/>
    </row>
    <row r="1571" spans="1:25" x14ac:dyDescent="0.2">
      <c r="A1571" s="881"/>
      <c r="B1571" s="881"/>
      <c r="C1571" s="881"/>
      <c r="D1571" s="881"/>
      <c r="E1571" s="881"/>
      <c r="R1571" s="882"/>
      <c r="S1571" s="882"/>
      <c r="T1571" s="882"/>
      <c r="U1571" s="882"/>
      <c r="V1571" s="882"/>
      <c r="W1571" s="882"/>
      <c r="X1571" s="882"/>
      <c r="Y1571" s="882"/>
    </row>
    <row r="1572" spans="1:25" x14ac:dyDescent="0.2">
      <c r="A1572" s="881"/>
      <c r="B1572" s="881"/>
      <c r="C1572" s="881"/>
      <c r="D1572" s="881"/>
      <c r="E1572" s="881"/>
      <c r="R1572" s="882"/>
      <c r="S1572" s="882"/>
      <c r="T1572" s="882"/>
      <c r="U1572" s="882"/>
      <c r="V1572" s="882"/>
      <c r="W1572" s="882"/>
      <c r="X1572" s="882"/>
      <c r="Y1572" s="882"/>
    </row>
    <row r="1573" spans="1:25" x14ac:dyDescent="0.2">
      <c r="A1573" s="881"/>
      <c r="B1573" s="881"/>
      <c r="C1573" s="881"/>
      <c r="D1573" s="881"/>
      <c r="E1573" s="881"/>
      <c r="R1573" s="882"/>
      <c r="S1573" s="882"/>
      <c r="T1573" s="882"/>
      <c r="U1573" s="882"/>
      <c r="V1573" s="882"/>
      <c r="W1573" s="882"/>
      <c r="X1573" s="882"/>
      <c r="Y1573" s="882"/>
    </row>
    <row r="1574" spans="1:25" x14ac:dyDescent="0.2">
      <c r="A1574" s="881"/>
      <c r="B1574" s="881"/>
      <c r="C1574" s="881"/>
      <c r="D1574" s="881"/>
      <c r="E1574" s="881"/>
      <c r="R1574" s="882"/>
      <c r="S1574" s="882"/>
      <c r="T1574" s="882"/>
      <c r="U1574" s="882"/>
      <c r="V1574" s="882"/>
      <c r="W1574" s="882"/>
      <c r="X1574" s="882"/>
      <c r="Y1574" s="882"/>
    </row>
    <row r="1575" spans="1:25" x14ac:dyDescent="0.2">
      <c r="A1575" s="881"/>
      <c r="B1575" s="881"/>
      <c r="C1575" s="881"/>
      <c r="D1575" s="881"/>
      <c r="E1575" s="881"/>
      <c r="R1575" s="882"/>
      <c r="S1575" s="882"/>
      <c r="T1575" s="882"/>
      <c r="U1575" s="882"/>
      <c r="V1575" s="882"/>
      <c r="W1575" s="882"/>
      <c r="X1575" s="882"/>
      <c r="Y1575" s="882"/>
    </row>
    <row r="1576" spans="1:25" x14ac:dyDescent="0.2">
      <c r="A1576" s="881"/>
      <c r="B1576" s="881"/>
      <c r="C1576" s="881"/>
      <c r="D1576" s="881"/>
      <c r="E1576" s="881"/>
      <c r="R1576" s="882"/>
      <c r="S1576" s="882"/>
      <c r="T1576" s="882"/>
      <c r="U1576" s="882"/>
      <c r="V1576" s="882"/>
      <c r="W1576" s="882"/>
      <c r="X1576" s="882"/>
      <c r="Y1576" s="882"/>
    </row>
    <row r="1577" spans="1:25" x14ac:dyDescent="0.2">
      <c r="A1577" s="881"/>
      <c r="B1577" s="881"/>
      <c r="C1577" s="881"/>
      <c r="D1577" s="881"/>
      <c r="E1577" s="881"/>
      <c r="R1577" s="882"/>
      <c r="S1577" s="882"/>
      <c r="T1577" s="882"/>
      <c r="U1577" s="882"/>
      <c r="V1577" s="882"/>
      <c r="W1577" s="882"/>
      <c r="X1577" s="882"/>
      <c r="Y1577" s="882"/>
    </row>
    <row r="1578" spans="1:25" x14ac:dyDescent="0.2">
      <c r="A1578" s="881"/>
      <c r="B1578" s="881"/>
      <c r="C1578" s="881"/>
      <c r="D1578" s="881"/>
      <c r="E1578" s="881"/>
      <c r="R1578" s="882"/>
      <c r="S1578" s="882"/>
      <c r="T1578" s="882"/>
      <c r="U1578" s="882"/>
      <c r="V1578" s="882"/>
      <c r="W1578" s="882"/>
      <c r="X1578" s="882"/>
      <c r="Y1578" s="882"/>
    </row>
    <row r="1579" spans="1:25" x14ac:dyDescent="0.2">
      <c r="A1579" s="881"/>
      <c r="B1579" s="881"/>
      <c r="C1579" s="881"/>
      <c r="D1579" s="881"/>
      <c r="E1579" s="881"/>
      <c r="R1579" s="882"/>
      <c r="S1579" s="882"/>
      <c r="T1579" s="882"/>
      <c r="U1579" s="882"/>
      <c r="V1579" s="882"/>
      <c r="W1579" s="882"/>
      <c r="X1579" s="882"/>
      <c r="Y1579" s="882"/>
    </row>
    <row r="1580" spans="1:25" x14ac:dyDescent="0.2">
      <c r="A1580" s="881"/>
      <c r="B1580" s="881"/>
      <c r="C1580" s="881"/>
      <c r="D1580" s="881"/>
      <c r="E1580" s="881"/>
      <c r="R1580" s="882"/>
      <c r="S1580" s="882"/>
      <c r="T1580" s="882"/>
      <c r="U1580" s="882"/>
      <c r="V1580" s="882"/>
      <c r="W1580" s="882"/>
      <c r="X1580" s="882"/>
      <c r="Y1580" s="882"/>
    </row>
    <row r="1581" spans="1:25" x14ac:dyDescent="0.2">
      <c r="A1581" s="881"/>
      <c r="B1581" s="881"/>
      <c r="C1581" s="881"/>
      <c r="D1581" s="881"/>
      <c r="E1581" s="881"/>
      <c r="R1581" s="882"/>
      <c r="S1581" s="882"/>
      <c r="T1581" s="882"/>
      <c r="U1581" s="882"/>
      <c r="V1581" s="882"/>
      <c r="W1581" s="882"/>
      <c r="X1581" s="882"/>
      <c r="Y1581" s="882"/>
    </row>
    <row r="1582" spans="1:25" x14ac:dyDescent="0.2">
      <c r="A1582" s="881"/>
      <c r="B1582" s="881"/>
      <c r="C1582" s="881"/>
      <c r="D1582" s="881"/>
      <c r="E1582" s="881"/>
      <c r="R1582" s="882"/>
      <c r="S1582" s="882"/>
      <c r="T1582" s="882"/>
      <c r="U1582" s="882"/>
      <c r="V1582" s="882"/>
      <c r="W1582" s="882"/>
      <c r="X1582" s="882"/>
      <c r="Y1582" s="882"/>
    </row>
    <row r="1583" spans="1:25" x14ac:dyDescent="0.2">
      <c r="E1583" s="881"/>
      <c r="R1583" s="882"/>
      <c r="S1583" s="882"/>
      <c r="T1583" s="882"/>
      <c r="U1583" s="882"/>
      <c r="V1583" s="882"/>
      <c r="W1583" s="882"/>
      <c r="X1583" s="882"/>
      <c r="Y1583" s="882"/>
    </row>
    <row r="1584" spans="1:25" x14ac:dyDescent="0.2">
      <c r="E1584" s="881"/>
      <c r="R1584" s="882"/>
      <c r="S1584" s="882"/>
      <c r="T1584" s="882"/>
      <c r="U1584" s="882"/>
      <c r="V1584" s="882"/>
      <c r="W1584" s="882"/>
      <c r="X1584" s="882"/>
      <c r="Y1584" s="882"/>
    </row>
  </sheetData>
  <mergeCells count="31">
    <mergeCell ref="A133:B133"/>
    <mergeCell ref="C133:D133"/>
    <mergeCell ref="A109:B109"/>
    <mergeCell ref="C109:D109"/>
    <mergeCell ref="A117:B117"/>
    <mergeCell ref="C117:D117"/>
    <mergeCell ref="A125:B125"/>
    <mergeCell ref="C125:D125"/>
    <mergeCell ref="A85:B85"/>
    <mergeCell ref="C85:D85"/>
    <mergeCell ref="A93:B93"/>
    <mergeCell ref="C93:D93"/>
    <mergeCell ref="A101:B101"/>
    <mergeCell ref="C101:D101"/>
    <mergeCell ref="C8:D8"/>
    <mergeCell ref="C11:D11"/>
    <mergeCell ref="C13:D13"/>
    <mergeCell ref="A14:B14"/>
    <mergeCell ref="A30:B30"/>
    <mergeCell ref="C30:D30"/>
    <mergeCell ref="C59:D59"/>
    <mergeCell ref="C68:D68"/>
    <mergeCell ref="A77:B77"/>
    <mergeCell ref="C77:D77"/>
    <mergeCell ref="C31:D31"/>
    <mergeCell ref="A40:B40"/>
    <mergeCell ref="C40:D40"/>
    <mergeCell ref="A49:B49"/>
    <mergeCell ref="C49:D49"/>
    <mergeCell ref="A58:B58"/>
    <mergeCell ref="C58:D58"/>
  </mergeCells>
  <phoneticPr fontId="2" type="noConversion"/>
  <dataValidations count="2">
    <dataValidation type="whole" allowBlank="1" showInputMessage="1" showErrorMessage="1" sqref="B24:B25 B18:B19">
      <formula1>0</formula1>
      <formula2>9999</formula2>
    </dataValidation>
    <dataValidation type="list" allowBlank="1" showInputMessage="1" showErrorMessage="1" sqref="B5">
      <formula1>$P$4:$P$394</formula1>
    </dataValidation>
  </dataValidations>
  <hyperlinks>
    <hyperlink ref="C6" location="_ftn1" display="¹  Grade in terms of the Remuneration of Public Office Bearers Act."/>
  </hyperlinks>
  <pageMargins left="0.74803149606299213" right="0.74803149606299213" top="0.98425196850393704" bottom="0.98425196850393704" header="0.51181102362204722" footer="0.51181102362204722"/>
  <pageSetup scale="74" fitToHeight="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44"/>
    <pageSetUpPr fitToPage="1"/>
  </sheetPr>
  <dimension ref="A1:K56"/>
  <sheetViews>
    <sheetView showGridLines="0" zoomScaleNormal="100" workbookViewId="0">
      <pane xSplit="1" ySplit="4" topLeftCell="B11" activePane="bottomRight" state="frozen"/>
      <selection pane="topRight"/>
      <selection pane="bottomLeft"/>
      <selection pane="bottomRight" activeCell="Q32" sqref="Q32"/>
    </sheetView>
  </sheetViews>
  <sheetFormatPr defaultColWidth="9.140625" defaultRowHeight="12.75" x14ac:dyDescent="0.25"/>
  <cols>
    <col min="1" max="1" width="30.7109375" style="25" customWidth="1"/>
    <col min="2" max="7" width="8.7109375" style="25" customWidth="1"/>
    <col min="8" max="8" width="6.7109375" style="25" customWidth="1"/>
    <col min="9" max="9" width="6.7109375" style="68" customWidth="1"/>
    <col min="10" max="11" width="8.7109375" style="25" customWidth="1"/>
    <col min="12" max="14" width="7.7109375" style="25" customWidth="1"/>
    <col min="15" max="16384" width="9.140625" style="25"/>
  </cols>
  <sheetData>
    <row r="1" spans="1:10" ht="13.5" x14ac:dyDescent="0.25">
      <c r="A1" s="346" t="str">
        <f>muni&amp; " - "&amp;s71sum&amp; " - "&amp;date</f>
        <v>KZN225 Msunduzi - Table C1 Consolidated Monthly Budget Statement Summary - Mid-Year Assessment</v>
      </c>
      <c r="B1" s="346"/>
      <c r="C1" s="346"/>
      <c r="D1" s="346"/>
      <c r="E1" s="346"/>
      <c r="F1" s="346"/>
      <c r="G1" s="346"/>
      <c r="H1" s="346"/>
      <c r="I1" s="346"/>
      <c r="J1" s="346"/>
    </row>
    <row r="2" spans="1:10" x14ac:dyDescent="0.25">
      <c r="A2" s="1035" t="str">
        <f>desc</f>
        <v>Description</v>
      </c>
      <c r="B2" s="158" t="str">
        <f>Head1</f>
        <v>2019/20</v>
      </c>
      <c r="C2" s="1037" t="str">
        <f>Head2</f>
        <v>Budget Year 2020/21</v>
      </c>
      <c r="D2" s="1038"/>
      <c r="E2" s="1038"/>
      <c r="F2" s="1038"/>
      <c r="G2" s="1038"/>
      <c r="H2" s="1038"/>
      <c r="I2" s="1038"/>
      <c r="J2" s="1039"/>
    </row>
    <row r="3" spans="1:10" ht="25.5" x14ac:dyDescent="0.25">
      <c r="A3" s="1036"/>
      <c r="B3" s="159" t="str">
        <f>Head5</f>
        <v>Audited Outcome</v>
      </c>
      <c r="C3" s="199"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tr">
        <f>Head8</f>
        <v>Full Year Forecast</v>
      </c>
    </row>
    <row r="4" spans="1:10" ht="11.25" customHeight="1" x14ac:dyDescent="0.25">
      <c r="A4" s="188" t="s">
        <v>667</v>
      </c>
      <c r="B4" s="19"/>
      <c r="C4" s="222"/>
      <c r="D4" s="82"/>
      <c r="E4" s="82"/>
      <c r="F4" s="82"/>
      <c r="G4" s="82"/>
      <c r="H4" s="82"/>
      <c r="I4" s="242" t="s">
        <v>575</v>
      </c>
      <c r="J4" s="223"/>
    </row>
    <row r="5" spans="1:10" ht="12.75" customHeight="1" x14ac:dyDescent="0.25">
      <c r="A5" s="155" t="s">
        <v>748</v>
      </c>
      <c r="B5" s="172"/>
      <c r="C5" s="191"/>
      <c r="D5" s="192"/>
      <c r="E5" s="192"/>
      <c r="F5" s="192"/>
      <c r="G5" s="192"/>
      <c r="H5" s="192"/>
      <c r="I5" s="200"/>
      <c r="J5" s="193"/>
    </row>
    <row r="6" spans="1:10" ht="12.75" customHeight="1" x14ac:dyDescent="0.25">
      <c r="A6" s="152" t="s">
        <v>931</v>
      </c>
      <c r="B6" s="648">
        <f>SUM('C4-FinPerf RE'!C6:C6)</f>
        <v>0</v>
      </c>
      <c r="C6" s="649">
        <f>SUM('C4-FinPerf RE'!D6:D6)</f>
        <v>1269794594.0217998</v>
      </c>
      <c r="D6" s="408">
        <f>SUM('C4-FinPerf RE'!E6:E6)</f>
        <v>1269794594.0217998</v>
      </c>
      <c r="E6" s="408">
        <f>SUM('C4-FinPerf RE'!F6:F6)</f>
        <v>102613743.55</v>
      </c>
      <c r="F6" s="408">
        <f>SUM('C4-FinPerf RE'!G6:G6)</f>
        <v>606771947.64999998</v>
      </c>
      <c r="G6" s="650">
        <f>SUM('C4-FinPerf RE'!H6:H6)</f>
        <v>634897297.0108999</v>
      </c>
      <c r="H6" s="408">
        <f>F6-G6</f>
        <v>-28125349.360899925</v>
      </c>
      <c r="I6" s="591">
        <f>IF(H6=0,"",H6/G6)</f>
        <v>-4.4299053552935619E-2</v>
      </c>
      <c r="J6" s="642">
        <f>SUM('C4-FinPerf RE'!K6:K6)</f>
        <v>1269794594.0217998</v>
      </c>
    </row>
    <row r="7" spans="1:10" ht="12.75" customHeight="1" x14ac:dyDescent="0.25">
      <c r="A7" s="152" t="s">
        <v>962</v>
      </c>
      <c r="B7" s="648">
        <f>SUM('C4-FinPerf RE'!C7:C10)</f>
        <v>0</v>
      </c>
      <c r="C7" s="649">
        <f>SUM('C4-FinPerf RE'!D7:D10)</f>
        <v>3575763602.2929115</v>
      </c>
      <c r="D7" s="408">
        <f>SUM('C4-FinPerf RE'!E7:E10)</f>
        <v>3575763602.2929115</v>
      </c>
      <c r="E7" s="408">
        <f>SUM('C4-FinPerf RE'!F7:F10)</f>
        <v>266649567.75</v>
      </c>
      <c r="F7" s="408">
        <f>SUM('C4-FinPerf RE'!G7:G10)</f>
        <v>1713265561.1500001</v>
      </c>
      <c r="G7" s="650">
        <f>SUM('C4-FinPerf RE'!H7:H10)</f>
        <v>1787881801.1464558</v>
      </c>
      <c r="H7" s="408">
        <f>F7-G7</f>
        <v>-74616239.996455669</v>
      </c>
      <c r="I7" s="207">
        <f>IF(H7=0,"",H7/G7)</f>
        <v>-4.173443677798442E-2</v>
      </c>
      <c r="J7" s="642">
        <f>SUM('C4-FinPerf RE'!K7:K10)</f>
        <v>3575763602.2929115</v>
      </c>
    </row>
    <row r="8" spans="1:10" ht="12.75" customHeight="1" x14ac:dyDescent="0.25">
      <c r="A8" s="152" t="s">
        <v>496</v>
      </c>
      <c r="B8" s="648">
        <f>'C4-FinPerf RE'!C13</f>
        <v>0</v>
      </c>
      <c r="C8" s="649">
        <f>'C4-FinPerf RE'!D13</f>
        <v>15260422.42725</v>
      </c>
      <c r="D8" s="408">
        <f>'C4-FinPerf RE'!E13</f>
        <v>15260422.42725</v>
      </c>
      <c r="E8" s="408">
        <f>'C4-FinPerf RE'!F13</f>
        <v>347930.44999999995</v>
      </c>
      <c r="F8" s="408">
        <f>'C4-FinPerf RE'!G13</f>
        <v>3441859.53</v>
      </c>
      <c r="G8" s="650">
        <f>'C4-FinPerf RE'!H13</f>
        <v>7630211.2136250008</v>
      </c>
      <c r="H8" s="408">
        <f>F8-G8</f>
        <v>-4188351.683625001</v>
      </c>
      <c r="I8" s="207">
        <f>IF(H8=0,"",H8/G8)</f>
        <v>-0.5489168735127552</v>
      </c>
      <c r="J8" s="642">
        <f>'C4-FinPerf RE'!K13</f>
        <v>15260422.42725</v>
      </c>
    </row>
    <row r="9" spans="1:10" ht="12.75" customHeight="1" x14ac:dyDescent="0.25">
      <c r="A9" s="152" t="s">
        <v>1118</v>
      </c>
      <c r="B9" s="648">
        <f>'C4-FinPerf RE'!C19</f>
        <v>0</v>
      </c>
      <c r="C9" s="649">
        <f>'C4-FinPerf RE'!D19</f>
        <v>675483240</v>
      </c>
      <c r="D9" s="408">
        <f>'C4-FinPerf RE'!E19</f>
        <v>764481240</v>
      </c>
      <c r="E9" s="408">
        <f>'C4-FinPerf RE'!F19</f>
        <v>273809093.82999998</v>
      </c>
      <c r="F9" s="408">
        <f>'C4-FinPerf RE'!G19</f>
        <v>567424769.73000002</v>
      </c>
      <c r="G9" s="650">
        <f>'C4-FinPerf RE'!H19</f>
        <v>382240620</v>
      </c>
      <c r="H9" s="408">
        <f>F9-G9</f>
        <v>185184149.73000002</v>
      </c>
      <c r="I9" s="207">
        <f>IF(H9=0,"",H9/G9)</f>
        <v>0.48447009564289639</v>
      </c>
      <c r="J9" s="642">
        <f>'C4-FinPerf RE'!K19</f>
        <v>764481240</v>
      </c>
    </row>
    <row r="10" spans="1:10" ht="12.75" customHeight="1" x14ac:dyDescent="0.25">
      <c r="A10" s="232" t="s">
        <v>494</v>
      </c>
      <c r="B10" s="651">
        <f>'C4-FinPerf RE'!C12+'C4-FinPerf RE'!C14+'C4-FinPerf RE'!C15+'C4-FinPerf RE'!C16+'C4-FinPerf RE'!C17+'C4-FinPerf RE'!C18+'C4-FinPerf RE'!C20+'C4-FinPerf RE'!C21</f>
        <v>0</v>
      </c>
      <c r="C10" s="652">
        <f>'C4-FinPerf RE'!D12+'C4-FinPerf RE'!D14+'C4-FinPerf RE'!D15+'C4-FinPerf RE'!D16+'C4-FinPerf RE'!D17+'C4-FinPerf RE'!D18+'C4-FinPerf RE'!D20+'C4-FinPerf RE'!D21</f>
        <v>381508399.13009989</v>
      </c>
      <c r="D10" s="409">
        <f>'C4-FinPerf RE'!E12+'C4-FinPerf RE'!E14+'C4-FinPerf RE'!E15+'C4-FinPerf RE'!E16+'C4-FinPerf RE'!E17+'C4-FinPerf RE'!E18+'C4-FinPerf RE'!E20+'C4-FinPerf RE'!E21</f>
        <v>381508399.13009989</v>
      </c>
      <c r="E10" s="409">
        <f>'C4-FinPerf RE'!F12+'C4-FinPerf RE'!F14+'C4-FinPerf RE'!F15+'C4-FinPerf RE'!F16+'C4-FinPerf RE'!F17+'C4-FinPerf RE'!F18+'C4-FinPerf RE'!F20+'C4-FinPerf RE'!F21</f>
        <v>24747556.969999999</v>
      </c>
      <c r="F10" s="409">
        <f>'C4-FinPerf RE'!G12+'C4-FinPerf RE'!G14+'C4-FinPerf RE'!G15+'C4-FinPerf RE'!G16+'C4-FinPerf RE'!G17+'C4-FinPerf RE'!G18+'C4-FinPerf RE'!G20+'C4-FinPerf RE'!G21</f>
        <v>164903006.09999999</v>
      </c>
      <c r="G10" s="653">
        <f>'C4-FinPerf RE'!H12+'C4-FinPerf RE'!H14+'C4-FinPerf RE'!H15+'C4-FinPerf RE'!H16+'C4-FinPerf RE'!H17+'C4-FinPerf RE'!H18+'C4-FinPerf RE'!H20+'C4-FinPerf RE'!H21</f>
        <v>190754199.56504995</v>
      </c>
      <c r="H10" s="409">
        <f>F10-G10</f>
        <v>-25851193.465049952</v>
      </c>
      <c r="I10" s="208">
        <f>IF(H10=0,"",H10/G10)</f>
        <v>-0.13552096637450081</v>
      </c>
      <c r="J10" s="654">
        <f>'C4-FinPerf RE'!K12+'C4-FinPerf RE'!K14+'C4-FinPerf RE'!K15+'C4-FinPerf RE'!K16+'C4-FinPerf RE'!K17+'C4-FinPerf RE'!K18+'C4-FinPerf RE'!K20+'C4-FinPerf RE'!K21</f>
        <v>381508399.13009989</v>
      </c>
    </row>
    <row r="11" spans="1:10" ht="23.25" customHeight="1" x14ac:dyDescent="0.25">
      <c r="A11" s="582" t="s">
        <v>134</v>
      </c>
      <c r="B11" s="655">
        <f t="shared" ref="B11:J11" si="0">SUM(B6:B10)</f>
        <v>0</v>
      </c>
      <c r="C11" s="656">
        <f t="shared" si="0"/>
        <v>5917810257.8720617</v>
      </c>
      <c r="D11" s="657">
        <f t="shared" si="0"/>
        <v>6006808257.8720617</v>
      </c>
      <c r="E11" s="657">
        <f t="shared" si="0"/>
        <v>668167892.54999995</v>
      </c>
      <c r="F11" s="657">
        <f t="shared" si="0"/>
        <v>3055807144.1600003</v>
      </c>
      <c r="G11" s="658">
        <f t="shared" si="0"/>
        <v>3003404128.9360309</v>
      </c>
      <c r="H11" s="657">
        <f t="shared" ref="H11:H25" si="1">F11-G11</f>
        <v>52403015.22396946</v>
      </c>
      <c r="I11" s="593">
        <f t="shared" ref="I11:I25" si="2">IF(H11=0,"",H11/G11)</f>
        <v>1.744787347100487E-2</v>
      </c>
      <c r="J11" s="659">
        <f t="shared" si="0"/>
        <v>6006808257.8720617</v>
      </c>
    </row>
    <row r="12" spans="1:10" ht="12.75" customHeight="1" x14ac:dyDescent="0.25">
      <c r="A12" s="152" t="s">
        <v>475</v>
      </c>
      <c r="B12" s="648">
        <f>'C4-FinPerf RE'!C25</f>
        <v>0</v>
      </c>
      <c r="C12" s="649">
        <f>'C4-FinPerf RE'!D25</f>
        <v>1478324301.5741799</v>
      </c>
      <c r="D12" s="408">
        <f>'C4-FinPerf RE'!E25</f>
        <v>1478324304.2495084</v>
      </c>
      <c r="E12" s="408">
        <f>'C4-FinPerf RE'!F25</f>
        <v>105216598.87000008</v>
      </c>
      <c r="F12" s="408">
        <f>'C4-FinPerf RE'!G25</f>
        <v>706305561.33999932</v>
      </c>
      <c r="G12" s="650">
        <f>'C4-FinPerf RE'!H25</f>
        <v>739162152.12475419</v>
      </c>
      <c r="H12" s="408">
        <f t="shared" si="1"/>
        <v>-32856590.784754872</v>
      </c>
      <c r="I12" s="207">
        <f t="shared" si="2"/>
        <v>-4.4451127117787557E-2</v>
      </c>
      <c r="J12" s="642">
        <f>'C4-FinPerf RE'!K25</f>
        <v>1478324304.2495084</v>
      </c>
    </row>
    <row r="13" spans="1:10" ht="12.75" customHeight="1" x14ac:dyDescent="0.25">
      <c r="A13" s="152" t="s">
        <v>842</v>
      </c>
      <c r="B13" s="648">
        <f>'C4-FinPerf RE'!C26</f>
        <v>0</v>
      </c>
      <c r="C13" s="649">
        <f>'C4-FinPerf RE'!D26</f>
        <v>53650401.115479976</v>
      </c>
      <c r="D13" s="408">
        <f>'C4-FinPerf RE'!E26</f>
        <v>53650401.439999998</v>
      </c>
      <c r="E13" s="408">
        <f>'C4-FinPerf RE'!F26</f>
        <v>4028354.9000000004</v>
      </c>
      <c r="F13" s="408">
        <f>'C4-FinPerf RE'!G26</f>
        <v>25654486.129999995</v>
      </c>
      <c r="G13" s="650">
        <f>'C4-FinPerf RE'!H26</f>
        <v>26825200.719999999</v>
      </c>
      <c r="H13" s="408">
        <f t="shared" si="1"/>
        <v>-1170714.5900000036</v>
      </c>
      <c r="I13" s="207">
        <f t="shared" si="2"/>
        <v>-4.364234222214624E-2</v>
      </c>
      <c r="J13" s="642">
        <f>'C4-FinPerf RE'!K26</f>
        <v>53650401.439999998</v>
      </c>
    </row>
    <row r="14" spans="1:10" ht="12.75" customHeight="1" x14ac:dyDescent="0.25">
      <c r="A14" s="581" t="s">
        <v>664</v>
      </c>
      <c r="B14" s="648">
        <f>'C4-FinPerf RE'!C28</f>
        <v>0</v>
      </c>
      <c r="C14" s="649">
        <f>'C4-FinPerf RE'!D28</f>
        <v>489941448.27473986</v>
      </c>
      <c r="D14" s="408">
        <f>'C4-FinPerf RE'!E28</f>
        <v>482441448.55050021</v>
      </c>
      <c r="E14" s="408">
        <f>'C4-FinPerf RE'!F28</f>
        <v>35914041.079999998</v>
      </c>
      <c r="F14" s="408">
        <f>'C4-FinPerf RE'!G28</f>
        <v>212773563.68000016</v>
      </c>
      <c r="G14" s="650">
        <f>'C4-FinPerf RE'!H28</f>
        <v>241220724.27525014</v>
      </c>
      <c r="H14" s="408">
        <f t="shared" si="1"/>
        <v>-28447160.595249981</v>
      </c>
      <c r="I14" s="207">
        <f t="shared" si="2"/>
        <v>-0.11793000241052976</v>
      </c>
      <c r="J14" s="642">
        <f>'C4-FinPerf RE'!K28</f>
        <v>482441448.55050021</v>
      </c>
    </row>
    <row r="15" spans="1:10" ht="12.75" customHeight="1" x14ac:dyDescent="0.25">
      <c r="A15" s="152" t="s">
        <v>452</v>
      </c>
      <c r="B15" s="648">
        <f>'C4-FinPerf RE'!C29</f>
        <v>0</v>
      </c>
      <c r="C15" s="649">
        <f>'C4-FinPerf RE'!D29</f>
        <v>31793212.220000003</v>
      </c>
      <c r="D15" s="408">
        <f>'C4-FinPerf RE'!E29</f>
        <v>36505334.219999969</v>
      </c>
      <c r="E15" s="408">
        <f>'C4-FinPerf RE'!F29</f>
        <v>3064353.5900000003</v>
      </c>
      <c r="F15" s="408">
        <f>'C4-FinPerf RE'!G29</f>
        <v>19503251.430000003</v>
      </c>
      <c r="G15" s="650">
        <f>'C4-FinPerf RE'!H29</f>
        <v>18252667.109999985</v>
      </c>
      <c r="H15" s="408">
        <f t="shared" si="1"/>
        <v>1250584.3200000189</v>
      </c>
      <c r="I15" s="207">
        <f t="shared" si="2"/>
        <v>6.851515520791307E-2</v>
      </c>
      <c r="J15" s="642">
        <f>'C4-FinPerf RE'!K29</f>
        <v>36505334.219999969</v>
      </c>
    </row>
    <row r="16" spans="1:10" ht="12.75" customHeight="1" x14ac:dyDescent="0.25">
      <c r="A16" s="152" t="s">
        <v>495</v>
      </c>
      <c r="B16" s="648">
        <f>SUM('C4-FinPerf RE'!C30:C31)</f>
        <v>0</v>
      </c>
      <c r="C16" s="649">
        <f>SUM('C4-FinPerf RE'!D30:D31)</f>
        <v>2654837499.1911387</v>
      </c>
      <c r="D16" s="408">
        <f>SUM('C4-FinPerf RE'!E30:E31)</f>
        <v>2671934390.6479759</v>
      </c>
      <c r="E16" s="408">
        <f>SUM('C4-FinPerf RE'!F30:F31)</f>
        <v>201612938.81999999</v>
      </c>
      <c r="F16" s="408">
        <f>SUM('C4-FinPerf RE'!G30:G31)</f>
        <v>1416556587.97</v>
      </c>
      <c r="G16" s="650">
        <f>SUM('C4-FinPerf RE'!H30:H31)</f>
        <v>1335967195.323988</v>
      </c>
      <c r="H16" s="408">
        <f t="shared" si="1"/>
        <v>80589392.646012068</v>
      </c>
      <c r="I16" s="591">
        <f t="shared" si="2"/>
        <v>6.032288287323416E-2</v>
      </c>
      <c r="J16" s="642">
        <f>SUM('C4-FinPerf RE'!K30:K31)</f>
        <v>2671934390.6479759</v>
      </c>
    </row>
    <row r="17" spans="1:11" ht="12.75" customHeight="1" x14ac:dyDescent="0.25">
      <c r="A17" s="152" t="s">
        <v>1118</v>
      </c>
      <c r="B17" s="648">
        <f>'C4-FinPerf RE'!C33</f>
        <v>0</v>
      </c>
      <c r="C17" s="649">
        <f>'C4-FinPerf RE'!D33</f>
        <v>25080461.44304001</v>
      </c>
      <c r="D17" s="408">
        <f>'C4-FinPerf RE'!E33</f>
        <v>58680462</v>
      </c>
      <c r="E17" s="408">
        <f>'C4-FinPerf RE'!F33</f>
        <v>2551054.63</v>
      </c>
      <c r="F17" s="408">
        <f>'C4-FinPerf RE'!G33</f>
        <v>23289311.890000001</v>
      </c>
      <c r="G17" s="650">
        <f>'C4-FinPerf RE'!H33</f>
        <v>29340231</v>
      </c>
      <c r="H17" s="408">
        <f t="shared" si="1"/>
        <v>-6050919.1099999994</v>
      </c>
      <c r="I17" s="207">
        <f t="shared" si="2"/>
        <v>-0.20623283811228341</v>
      </c>
      <c r="J17" s="642">
        <f>'C4-FinPerf RE'!K33</f>
        <v>58680462</v>
      </c>
    </row>
    <row r="18" spans="1:11" ht="12.75" customHeight="1" x14ac:dyDescent="0.25">
      <c r="A18" s="152" t="s">
        <v>434</v>
      </c>
      <c r="B18" s="648">
        <f>'C4-FinPerf RE'!C36-SUM('C1-Sum'!B12:B17)</f>
        <v>0</v>
      </c>
      <c r="C18" s="649">
        <f>'C4-FinPerf RE'!D36-SUM('C1-Sum'!C12:C17)</f>
        <v>782850145.72604942</v>
      </c>
      <c r="D18" s="408">
        <f>'C4-FinPerf RE'!E36-SUM('C1-Sum'!D12:D17)</f>
        <v>781553517.81908512</v>
      </c>
      <c r="E18" s="408">
        <f>'C4-FinPerf RE'!F36-SUM('C1-Sum'!E12:E17)</f>
        <v>60069512.389999986</v>
      </c>
      <c r="F18" s="408">
        <f>'C4-FinPerf RE'!G36-SUM('C1-Sum'!F12:F17)</f>
        <v>320221807.50000048</v>
      </c>
      <c r="G18" s="650">
        <f>'C4-FinPerf RE'!H36-SUM('C1-Sum'!G12:G17)</f>
        <v>390776758.90954256</v>
      </c>
      <c r="H18" s="408">
        <f t="shared" si="1"/>
        <v>-70554951.409542084</v>
      </c>
      <c r="I18" s="207">
        <f t="shared" si="2"/>
        <v>-0.18055053121998543</v>
      </c>
      <c r="J18" s="642">
        <f>'C4-FinPerf RE'!K36-SUM('C1-Sum'!J12:J17)</f>
        <v>781553517.81908512</v>
      </c>
    </row>
    <row r="19" spans="1:11" ht="12.75" customHeight="1" x14ac:dyDescent="0.25">
      <c r="A19" s="583" t="s">
        <v>488</v>
      </c>
      <c r="B19" s="660">
        <f t="shared" ref="B19:G19" si="3">SUM(B12:B18)</f>
        <v>0</v>
      </c>
      <c r="C19" s="661">
        <f t="shared" si="3"/>
        <v>5516477469.5446281</v>
      </c>
      <c r="D19" s="662">
        <f t="shared" si="3"/>
        <v>5563089858.9270697</v>
      </c>
      <c r="E19" s="662">
        <f t="shared" si="3"/>
        <v>412456854.28000009</v>
      </c>
      <c r="F19" s="662">
        <f t="shared" si="3"/>
        <v>2724304569.9399996</v>
      </c>
      <c r="G19" s="663">
        <f t="shared" si="3"/>
        <v>2781544929.4635348</v>
      </c>
      <c r="H19" s="662">
        <f t="shared" si="1"/>
        <v>-57240359.523535252</v>
      </c>
      <c r="I19" s="382">
        <f t="shared" si="2"/>
        <v>-2.0578621224923002E-2</v>
      </c>
      <c r="J19" s="664">
        <f>SUM(J12:J18)</f>
        <v>5563089858.9270697</v>
      </c>
    </row>
    <row r="20" spans="1:11" ht="12.75" customHeight="1" x14ac:dyDescent="0.25">
      <c r="A20" s="153" t="s">
        <v>489</v>
      </c>
      <c r="B20" s="665">
        <f t="shared" ref="B20:G20" si="4">B11-B19</f>
        <v>0</v>
      </c>
      <c r="C20" s="666">
        <f t="shared" si="4"/>
        <v>401332788.32743359</v>
      </c>
      <c r="D20" s="637">
        <f t="shared" si="4"/>
        <v>443718398.94499207</v>
      </c>
      <c r="E20" s="637">
        <f t="shared" si="4"/>
        <v>255711038.26999986</v>
      </c>
      <c r="F20" s="637">
        <f t="shared" si="4"/>
        <v>331502574.22000074</v>
      </c>
      <c r="G20" s="667">
        <f t="shared" si="4"/>
        <v>221859199.47249603</v>
      </c>
      <c r="H20" s="637">
        <f t="shared" si="1"/>
        <v>109643374.74750471</v>
      </c>
      <c r="I20" s="206">
        <f t="shared" si="2"/>
        <v>0.49420251676828592</v>
      </c>
      <c r="J20" s="641">
        <f>J11-J19</f>
        <v>443718398.94499207</v>
      </c>
    </row>
    <row r="21" spans="1:11" s="987" customFormat="1" ht="23.45" customHeight="1" x14ac:dyDescent="0.2">
      <c r="A21" s="989" t="str">
        <f>'C4-FinPerf RE'!A39</f>
        <v>Transfers and subsidies - capital (monetary allocations) (National / Provincial and District)</v>
      </c>
      <c r="B21" s="981">
        <f>'C4-FinPerf RE'!C39</f>
        <v>0</v>
      </c>
      <c r="C21" s="982">
        <f>'C4-FinPerf RE'!D39</f>
        <v>525891580.99999982</v>
      </c>
      <c r="D21" s="983">
        <f>'C4-FinPerf RE'!E39</f>
        <v>525891580.99999982</v>
      </c>
      <c r="E21" s="983">
        <f>'C4-FinPerf RE'!F39</f>
        <v>65330859.039999999</v>
      </c>
      <c r="F21" s="983">
        <f>'C4-FinPerf RE'!G39</f>
        <v>252083543.83000001</v>
      </c>
      <c r="G21" s="984">
        <f>'C4-FinPerf RE'!H39</f>
        <v>262945790.49999988</v>
      </c>
      <c r="H21" s="983">
        <f t="shared" si="1"/>
        <v>-10862246.669999868</v>
      </c>
      <c r="I21" s="985">
        <f t="shared" si="2"/>
        <v>-4.1309832910216802E-2</v>
      </c>
      <c r="J21" s="986">
        <f>'C4-FinPerf RE'!K39</f>
        <v>525891580.99999982</v>
      </c>
    </row>
    <row r="22" spans="1:11" ht="61.15" customHeight="1" x14ac:dyDescent="0.25">
      <c r="A22" s="988" t="str">
        <f>'C4-FinPerf RE'!A40&amp;" &amp; "&amp;'C4-FinPerf RE'!A41</f>
        <v xml:space="preserve">Transfers and subsidies - capital (monetary allocations) (National / Provincial Departmental Agencies, Households, Non-profit Institutions, Private Enterprises, Public Corporatons, Higher Educational Institutions) &amp; Transfers and subsidies - capital (in-kind - all) </v>
      </c>
      <c r="B22" s="651">
        <f>SUM('C4-FinPerf RE'!C40:C41)</f>
        <v>0</v>
      </c>
      <c r="C22" s="652">
        <f>SUM('C4-FinPerf RE'!D40:D41)</f>
        <v>0</v>
      </c>
      <c r="D22" s="409">
        <f>SUM('C4-FinPerf RE'!E40:E41)</f>
        <v>0</v>
      </c>
      <c r="E22" s="409">
        <f>SUM('C4-FinPerf RE'!F40:F41)</f>
        <v>0</v>
      </c>
      <c r="F22" s="409">
        <f>SUM('C4-FinPerf RE'!G40:G41)</f>
        <v>0</v>
      </c>
      <c r="G22" s="653">
        <f>SUM('C4-FinPerf RE'!H40:H41)</f>
        <v>0</v>
      </c>
      <c r="H22" s="409">
        <f t="shared" si="1"/>
        <v>0</v>
      </c>
      <c r="I22" s="208" t="str">
        <f t="shared" si="2"/>
        <v/>
      </c>
      <c r="J22" s="654">
        <f>SUM('C4-FinPerf RE'!K40:K41)</f>
        <v>0</v>
      </c>
    </row>
    <row r="23" spans="1:11" ht="25.5" x14ac:dyDescent="0.25">
      <c r="A23" s="347" t="s">
        <v>752</v>
      </c>
      <c r="B23" s="655">
        <f t="shared" ref="B23:G23" si="5">B20+B21+B22</f>
        <v>0</v>
      </c>
      <c r="C23" s="656">
        <f t="shared" si="5"/>
        <v>927224369.32743335</v>
      </c>
      <c r="D23" s="657">
        <f t="shared" si="5"/>
        <v>969609979.94499183</v>
      </c>
      <c r="E23" s="657">
        <f t="shared" si="5"/>
        <v>321041897.30999988</v>
      </c>
      <c r="F23" s="657">
        <f t="shared" si="5"/>
        <v>583586118.05000079</v>
      </c>
      <c r="G23" s="658">
        <f t="shared" si="5"/>
        <v>484804989.97249591</v>
      </c>
      <c r="H23" s="657">
        <f t="shared" si="1"/>
        <v>98781128.077504873</v>
      </c>
      <c r="I23" s="592">
        <f t="shared" si="2"/>
        <v>0.20375435509256815</v>
      </c>
      <c r="J23" s="659">
        <f>J20+J21+J22</f>
        <v>969609979.94499183</v>
      </c>
    </row>
    <row r="24" spans="1:11" ht="12.75" customHeight="1" x14ac:dyDescent="0.25">
      <c r="A24" s="348" t="s">
        <v>478</v>
      </c>
      <c r="B24" s="648">
        <f>'C4-FinPerf RE'!C47</f>
        <v>0</v>
      </c>
      <c r="C24" s="649">
        <f>'C4-FinPerf RE'!D47</f>
        <v>0</v>
      </c>
      <c r="D24" s="408">
        <f>'C4-FinPerf RE'!E47</f>
        <v>0</v>
      </c>
      <c r="E24" s="408">
        <f>'C4-FinPerf RE'!F47</f>
        <v>0</v>
      </c>
      <c r="F24" s="408">
        <f>'C4-FinPerf RE'!G47</f>
        <v>0</v>
      </c>
      <c r="G24" s="650">
        <f>'C4-FinPerf RE'!H47</f>
        <v>0</v>
      </c>
      <c r="H24" s="408">
        <f t="shared" si="1"/>
        <v>0</v>
      </c>
      <c r="I24" s="207" t="str">
        <f t="shared" si="2"/>
        <v/>
      </c>
      <c r="J24" s="642">
        <f>'C4-FinPerf RE'!K47</f>
        <v>0</v>
      </c>
    </row>
    <row r="25" spans="1:11" ht="12.75" customHeight="1" x14ac:dyDescent="0.25">
      <c r="A25" s="347" t="s">
        <v>893</v>
      </c>
      <c r="B25" s="665">
        <f t="shared" ref="B25:G25" si="6">B23+B24</f>
        <v>0</v>
      </c>
      <c r="C25" s="666">
        <f t="shared" si="6"/>
        <v>927224369.32743335</v>
      </c>
      <c r="D25" s="637">
        <f t="shared" si="6"/>
        <v>969609979.94499183</v>
      </c>
      <c r="E25" s="637">
        <f t="shared" si="6"/>
        <v>321041897.30999988</v>
      </c>
      <c r="F25" s="637">
        <f t="shared" si="6"/>
        <v>583586118.05000079</v>
      </c>
      <c r="G25" s="667">
        <f t="shared" si="6"/>
        <v>484804989.97249591</v>
      </c>
      <c r="H25" s="637">
        <f t="shared" si="1"/>
        <v>98781128.077504873</v>
      </c>
      <c r="I25" s="206">
        <f t="shared" si="2"/>
        <v>0.20375435509256815</v>
      </c>
      <c r="J25" s="641">
        <f>J23+J24</f>
        <v>969609979.94499183</v>
      </c>
    </row>
    <row r="26" spans="1:11" ht="5.0999999999999996" customHeight="1" x14ac:dyDescent="0.25">
      <c r="A26" s="154"/>
      <c r="B26" s="209"/>
      <c r="C26" s="210"/>
      <c r="D26" s="32"/>
      <c r="E26" s="32"/>
      <c r="F26" s="32"/>
      <c r="G26" s="32"/>
      <c r="H26" s="32"/>
      <c r="I26" s="211"/>
      <c r="J26" s="212"/>
    </row>
    <row r="27" spans="1:11" ht="12.75" customHeight="1" x14ac:dyDescent="0.25">
      <c r="A27" s="151" t="s">
        <v>927</v>
      </c>
      <c r="B27" s="213"/>
      <c r="C27" s="214"/>
      <c r="D27" s="30"/>
      <c r="E27" s="30"/>
      <c r="F27" s="30"/>
      <c r="G27" s="30"/>
      <c r="H27" s="30"/>
      <c r="I27" s="215"/>
      <c r="J27" s="216"/>
    </row>
    <row r="28" spans="1:11" ht="12.75" customHeight="1" x14ac:dyDescent="0.25">
      <c r="A28" s="153" t="s">
        <v>581</v>
      </c>
      <c r="B28" s="660">
        <f>'C5-Capex'!C40</f>
        <v>0</v>
      </c>
      <c r="C28" s="661">
        <f>'C5-Capex'!D40</f>
        <v>580891581</v>
      </c>
      <c r="D28" s="662">
        <f>'C5-Capex'!E40</f>
        <v>621991581</v>
      </c>
      <c r="E28" s="662">
        <f>'C5-Capex'!F40</f>
        <v>66421825.969999991</v>
      </c>
      <c r="F28" s="662">
        <f>'C5-Capex'!G40</f>
        <v>246936010.84999999</v>
      </c>
      <c r="G28" s="663">
        <f>'C5-Capex'!H40</f>
        <v>310995790.5</v>
      </c>
      <c r="H28" s="662">
        <f t="shared" ref="H28:H33" si="7">F28-G28</f>
        <v>-64059779.650000006</v>
      </c>
      <c r="I28" s="382">
        <f t="shared" ref="I28:I33" si="8">IF(H28=0,"",H28/G28)</f>
        <v>-0.20598278692778643</v>
      </c>
      <c r="J28" s="664">
        <f>'C5-Capex'!K40</f>
        <v>621991581</v>
      </c>
    </row>
    <row r="29" spans="1:11" ht="12.75" customHeight="1" x14ac:dyDescent="0.25">
      <c r="A29" s="152" t="s">
        <v>499</v>
      </c>
      <c r="B29" s="648">
        <f>'C5-Capex'!C70</f>
        <v>0</v>
      </c>
      <c r="C29" s="649">
        <f>'C5-Capex'!D70</f>
        <v>525891580.99999988</v>
      </c>
      <c r="D29" s="408">
        <f>'C5-Capex'!E70</f>
        <v>525891580.99999988</v>
      </c>
      <c r="E29" s="408">
        <f>'C5-Capex'!F70</f>
        <v>53759057.789999992</v>
      </c>
      <c r="F29" s="408">
        <f>'C5-Capex'!G70</f>
        <v>224456832.55999997</v>
      </c>
      <c r="G29" s="650">
        <f>'C5-Capex'!H70</f>
        <v>262945790.49999991</v>
      </c>
      <c r="H29" s="408">
        <f t="shared" si="7"/>
        <v>-38488957.939999938</v>
      </c>
      <c r="I29" s="591">
        <f t="shared" si="8"/>
        <v>-0.14637601867218311</v>
      </c>
      <c r="J29" s="642">
        <f>'C5-Capex'!K70</f>
        <v>525891580.99999988</v>
      </c>
      <c r="K29" s="156"/>
    </row>
    <row r="30" spans="1:11" ht="0.95" customHeight="1" x14ac:dyDescent="0.25">
      <c r="A30" s="152"/>
      <c r="B30" s="648"/>
      <c r="C30" s="649"/>
      <c r="D30" s="408"/>
      <c r="E30" s="408"/>
      <c r="F30" s="408"/>
      <c r="G30" s="650"/>
      <c r="H30" s="408"/>
      <c r="I30" s="207"/>
      <c r="J30" s="642"/>
      <c r="K30" s="156"/>
    </row>
    <row r="31" spans="1:11" ht="12.75" customHeight="1" x14ac:dyDescent="0.25">
      <c r="A31" s="152" t="s">
        <v>779</v>
      </c>
      <c r="B31" s="648">
        <f>'C5-Capex'!C72</f>
        <v>0</v>
      </c>
      <c r="C31" s="649">
        <f>'C5-Capex'!D72</f>
        <v>0</v>
      </c>
      <c r="D31" s="408">
        <f>'C5-Capex'!E72</f>
        <v>0</v>
      </c>
      <c r="E31" s="408">
        <f>'C5-Capex'!F72</f>
        <v>0</v>
      </c>
      <c r="F31" s="408">
        <f>'C5-Capex'!G72</f>
        <v>0</v>
      </c>
      <c r="G31" s="650">
        <f>'C5-Capex'!H72</f>
        <v>0</v>
      </c>
      <c r="H31" s="408">
        <f t="shared" si="7"/>
        <v>0</v>
      </c>
      <c r="I31" s="207" t="str">
        <f t="shared" si="8"/>
        <v/>
      </c>
      <c r="J31" s="642">
        <f>'C5-Capex'!K72</f>
        <v>0</v>
      </c>
      <c r="K31" s="156"/>
    </row>
    <row r="32" spans="1:11" ht="12.75" customHeight="1" x14ac:dyDescent="0.25">
      <c r="A32" s="152" t="s">
        <v>472</v>
      </c>
      <c r="B32" s="660">
        <f>'C5-Capex'!C73</f>
        <v>0</v>
      </c>
      <c r="C32" s="661">
        <f>'C5-Capex'!D73</f>
        <v>55000000</v>
      </c>
      <c r="D32" s="662">
        <f>'C5-Capex'!E73</f>
        <v>96100000</v>
      </c>
      <c r="E32" s="662">
        <f>'C5-Capex'!F73</f>
        <v>12662768.18</v>
      </c>
      <c r="F32" s="662">
        <f>'C5-Capex'!G73</f>
        <v>22479178.289999999</v>
      </c>
      <c r="G32" s="663">
        <f>'C5-Capex'!H73</f>
        <v>48050000</v>
      </c>
      <c r="H32" s="662">
        <f t="shared" si="7"/>
        <v>-25570821.710000001</v>
      </c>
      <c r="I32" s="382">
        <f t="shared" si="8"/>
        <v>-0.53217110738813733</v>
      </c>
      <c r="J32" s="664">
        <f>'C5-Capex'!K73</f>
        <v>96100000</v>
      </c>
      <c r="K32" s="156"/>
    </row>
    <row r="33" spans="1:10" ht="12.75" customHeight="1" x14ac:dyDescent="0.25">
      <c r="A33" s="583" t="s">
        <v>137</v>
      </c>
      <c r="B33" s="668">
        <f t="shared" ref="B33:G33" si="9">+B29+B31+B32</f>
        <v>0</v>
      </c>
      <c r="C33" s="613">
        <f t="shared" si="9"/>
        <v>580891580.99999988</v>
      </c>
      <c r="D33" s="611">
        <f t="shared" si="9"/>
        <v>621991580.99999988</v>
      </c>
      <c r="E33" s="611">
        <f t="shared" si="9"/>
        <v>66421825.969999991</v>
      </c>
      <c r="F33" s="611">
        <f t="shared" si="9"/>
        <v>246936010.84999996</v>
      </c>
      <c r="G33" s="612">
        <f t="shared" si="9"/>
        <v>310995790.49999988</v>
      </c>
      <c r="H33" s="611">
        <f t="shared" si="7"/>
        <v>-64059779.649999917</v>
      </c>
      <c r="I33" s="594">
        <f t="shared" si="8"/>
        <v>-0.20598278692778621</v>
      </c>
      <c r="J33" s="614">
        <f>+J29+J31+J32</f>
        <v>621991580.99999988</v>
      </c>
    </row>
    <row r="34" spans="1:10" ht="5.0999999999999996" customHeight="1" x14ac:dyDescent="0.25">
      <c r="A34" s="349"/>
      <c r="B34" s="209"/>
      <c r="C34" s="210"/>
      <c r="D34" s="32"/>
      <c r="E34" s="32"/>
      <c r="F34" s="32"/>
      <c r="G34" s="32"/>
      <c r="H34" s="32"/>
      <c r="I34" s="211"/>
      <c r="J34" s="212"/>
    </row>
    <row r="35" spans="1:10" ht="12.75" customHeight="1" x14ac:dyDescent="0.25">
      <c r="A35" s="155" t="s">
        <v>492</v>
      </c>
      <c r="B35" s="197"/>
      <c r="C35" s="196"/>
      <c r="D35" s="29"/>
      <c r="E35" s="29"/>
      <c r="F35" s="29"/>
      <c r="G35" s="217"/>
      <c r="H35" s="217"/>
      <c r="I35" s="219"/>
      <c r="J35" s="201"/>
    </row>
    <row r="36" spans="1:10" ht="12.75" customHeight="1" x14ac:dyDescent="0.25">
      <c r="A36" s="152" t="s">
        <v>632</v>
      </c>
      <c r="B36" s="648">
        <f>'C6-FinPos'!C13</f>
        <v>0</v>
      </c>
      <c r="C36" s="649">
        <f>'C6-FinPos'!D13</f>
        <v>2972344764.6444831</v>
      </c>
      <c r="D36" s="408">
        <f>'C6-FinPos'!E13</f>
        <v>3193739518.5376496</v>
      </c>
      <c r="E36" s="408"/>
      <c r="F36" s="408">
        <f>'C6-FinPos'!F13</f>
        <v>3146554829.3199992</v>
      </c>
      <c r="G36" s="217"/>
      <c r="H36" s="217"/>
      <c r="I36" s="219"/>
      <c r="J36" s="642">
        <f>'C6-FinPos'!G13</f>
        <v>3193739518.5376496</v>
      </c>
    </row>
    <row r="37" spans="1:10" ht="12.75" customHeight="1" x14ac:dyDescent="0.25">
      <c r="A37" s="152" t="s">
        <v>631</v>
      </c>
      <c r="B37" s="648">
        <f>'C6-FinPos'!C25</f>
        <v>0</v>
      </c>
      <c r="C37" s="649">
        <f>'C6-FinPos'!D25</f>
        <v>8340425652.5764656</v>
      </c>
      <c r="D37" s="408">
        <f>'C6-FinPos'!E25</f>
        <v>8389025652.300705</v>
      </c>
      <c r="E37" s="408"/>
      <c r="F37" s="408">
        <f>'C6-FinPos'!F25</f>
        <v>7586874061.8300018</v>
      </c>
      <c r="G37" s="217"/>
      <c r="H37" s="217"/>
      <c r="I37" s="219"/>
      <c r="J37" s="642">
        <f>'C6-FinPos'!G25</f>
        <v>8389025652.300705</v>
      </c>
    </row>
    <row r="38" spans="1:10" ht="12.75" customHeight="1" x14ac:dyDescent="0.25">
      <c r="A38" s="152" t="s">
        <v>459</v>
      </c>
      <c r="B38" s="648">
        <f>'C6-FinPos'!C35</f>
        <v>0</v>
      </c>
      <c r="C38" s="649">
        <f>'C6-FinPos'!D35</f>
        <v>1441718351.4141357</v>
      </c>
      <c r="D38" s="408">
        <f>'C6-FinPos'!E35</f>
        <v>1669327494.413985</v>
      </c>
      <c r="E38" s="408"/>
      <c r="F38" s="408">
        <f>'C6-FinPos'!F35</f>
        <v>1401643993.75</v>
      </c>
      <c r="G38" s="217"/>
      <c r="H38" s="217"/>
      <c r="I38" s="219"/>
      <c r="J38" s="642">
        <f>'C6-FinPos'!G35</f>
        <v>1669327494.413985</v>
      </c>
    </row>
    <row r="39" spans="1:10" ht="12.75" customHeight="1" x14ac:dyDescent="0.25">
      <c r="A39" s="152" t="s">
        <v>458</v>
      </c>
      <c r="B39" s="648">
        <f>'C6-FinPos'!C40</f>
        <v>0</v>
      </c>
      <c r="C39" s="649">
        <f>'C6-FinPos'!D40</f>
        <v>1091864951.9305663</v>
      </c>
      <c r="D39" s="408">
        <f>'C6-FinPos'!E40</f>
        <v>1091864951.9305663</v>
      </c>
      <c r="E39" s="408"/>
      <c r="F39" s="408">
        <f>'C6-FinPos'!F40</f>
        <v>820090325.28999996</v>
      </c>
      <c r="G39" s="217"/>
      <c r="H39" s="217"/>
      <c r="I39" s="219"/>
      <c r="J39" s="642">
        <f>'C6-FinPos'!G40</f>
        <v>1091864951.9305663</v>
      </c>
    </row>
    <row r="40" spans="1:10" ht="12.75" customHeight="1" x14ac:dyDescent="0.25">
      <c r="A40" s="152" t="s">
        <v>136</v>
      </c>
      <c r="B40" s="665">
        <f>'C6-FinPos'!C48</f>
        <v>0</v>
      </c>
      <c r="C40" s="666">
        <f>'C6-FinPos'!D48</f>
        <v>8779187113.8762474</v>
      </c>
      <c r="D40" s="637">
        <f>'C6-FinPos'!E48</f>
        <v>8821572724.4938049</v>
      </c>
      <c r="E40" s="408"/>
      <c r="F40" s="637">
        <f>'C6-FinPos'!F48</f>
        <v>8511694572.1100016</v>
      </c>
      <c r="G40" s="595"/>
      <c r="H40" s="595"/>
      <c r="I40" s="596"/>
      <c r="J40" s="641">
        <f>'C6-FinPos'!G48</f>
        <v>8821572724.4938049</v>
      </c>
    </row>
    <row r="41" spans="1:10" ht="5.0999999999999996" customHeight="1" x14ac:dyDescent="0.25">
      <c r="A41" s="154"/>
      <c r="B41" s="209"/>
      <c r="C41" s="210"/>
      <c r="D41" s="32"/>
      <c r="E41" s="32"/>
      <c r="F41" s="32"/>
      <c r="G41" s="218"/>
      <c r="H41" s="218"/>
      <c r="I41" s="220"/>
      <c r="J41" s="212"/>
    </row>
    <row r="42" spans="1:10" ht="12.75" customHeight="1" x14ac:dyDescent="0.25">
      <c r="A42" s="151" t="s">
        <v>493</v>
      </c>
      <c r="B42" s="213"/>
      <c r="C42" s="214"/>
      <c r="D42" s="30"/>
      <c r="E42" s="30"/>
      <c r="F42" s="30"/>
      <c r="G42" s="30"/>
      <c r="H42" s="30"/>
      <c r="I42" s="215"/>
      <c r="J42" s="216"/>
    </row>
    <row r="43" spans="1:10" ht="12.75" customHeight="1" x14ac:dyDescent="0.25">
      <c r="A43" s="152" t="s">
        <v>648</v>
      </c>
      <c r="B43" s="648">
        <f>'C7-CFlow'!C18</f>
        <v>0</v>
      </c>
      <c r="C43" s="649">
        <f>'C7-CFlow'!D18</f>
        <v>752533430.43256187</v>
      </c>
      <c r="D43" s="408">
        <f>'C7-CFlow'!E18</f>
        <v>787419044.32572842</v>
      </c>
      <c r="E43" s="408">
        <f>'C7-CFlow'!F18</f>
        <v>-109008551.29999995</v>
      </c>
      <c r="F43" s="408">
        <f>'C7-CFlow'!G18</f>
        <v>-55235477.979999781</v>
      </c>
      <c r="G43" s="650">
        <f>'C7-CFlow'!H18</f>
        <v>393709522.16286421</v>
      </c>
      <c r="H43" s="408">
        <f>G43-F43</f>
        <v>448945000.14286399</v>
      </c>
      <c r="I43" s="207">
        <f>IF(H43=0,"",H43/G43)</f>
        <v>1.1402950014430964</v>
      </c>
      <c r="J43" s="642">
        <f>'C7-CFlow'!K18</f>
        <v>787419044.32572842</v>
      </c>
    </row>
    <row r="44" spans="1:10" ht="12.75" customHeight="1" x14ac:dyDescent="0.25">
      <c r="A44" s="152" t="s">
        <v>649</v>
      </c>
      <c r="B44" s="648">
        <f>'C7-CFlow'!C28</f>
        <v>0</v>
      </c>
      <c r="C44" s="649">
        <f>'C7-CFlow'!D28</f>
        <v>-580891580.99999988</v>
      </c>
      <c r="D44" s="408">
        <f>'C7-CFlow'!E28</f>
        <v>-621991580.99999988</v>
      </c>
      <c r="E44" s="408">
        <f>'C7-CFlow'!F28</f>
        <v>-51590954.259999998</v>
      </c>
      <c r="F44" s="408">
        <f>'C7-CFlow'!G28</f>
        <v>-32478843.490000002</v>
      </c>
      <c r="G44" s="650">
        <f>'C7-CFlow'!H28</f>
        <v>-310995790.49999994</v>
      </c>
      <c r="H44" s="408">
        <f>G44-F44</f>
        <v>-278516947.00999993</v>
      </c>
      <c r="I44" s="207">
        <f>IF(H44=0,"",H44/G44)</f>
        <v>0.89556500608004208</v>
      </c>
      <c r="J44" s="642">
        <f>'C7-CFlow'!K28</f>
        <v>-621991580.99999988</v>
      </c>
    </row>
    <row r="45" spans="1:10" ht="12.75" customHeight="1" x14ac:dyDescent="0.25">
      <c r="A45" s="152" t="s">
        <v>647</v>
      </c>
      <c r="B45" s="648">
        <f>'C7-CFlow'!C37</f>
        <v>0</v>
      </c>
      <c r="C45" s="649">
        <f>'C7-CFlow'!D37</f>
        <v>-79206000</v>
      </c>
      <c r="D45" s="408">
        <f>'C7-CFlow'!E37</f>
        <v>-79206000</v>
      </c>
      <c r="E45" s="408">
        <f>'C7-CFlow'!F37</f>
        <v>-19566786.379999999</v>
      </c>
      <c r="F45" s="408">
        <f>'C7-CFlow'!G37</f>
        <v>-20256190.370000001</v>
      </c>
      <c r="G45" s="650">
        <f>'C7-CFlow'!H37</f>
        <v>-39603000</v>
      </c>
      <c r="H45" s="408">
        <f>G45-F45</f>
        <v>-19346809.629999999</v>
      </c>
      <c r="I45" s="207">
        <f>IF(H45=0,"",H45/G45)</f>
        <v>0.4885187897381511</v>
      </c>
      <c r="J45" s="642">
        <f>'C7-CFlow'!K37</f>
        <v>-79206000</v>
      </c>
    </row>
    <row r="46" spans="1:10" ht="12.75" customHeight="1" x14ac:dyDescent="0.25">
      <c r="A46" s="153" t="s">
        <v>54</v>
      </c>
      <c r="B46" s="665">
        <f>'C7-CFlow'!C41</f>
        <v>0</v>
      </c>
      <c r="C46" s="666">
        <f>'C7-CFlow'!D41</f>
        <v>382435849.43256199</v>
      </c>
      <c r="D46" s="637">
        <f>'C7-CFlow'!E41</f>
        <v>603830603.32572854</v>
      </c>
      <c r="E46" s="637">
        <f>'C7-CFlow'!F41</f>
        <v>0</v>
      </c>
      <c r="F46" s="637">
        <f>'C7-CFlow'!G41</f>
        <v>362077737.16000021</v>
      </c>
      <c r="G46" s="667">
        <f>'C7-CFlow'!H41</f>
        <v>560719871.66286421</v>
      </c>
      <c r="H46" s="637">
        <f>G46-F46</f>
        <v>198642134.502864</v>
      </c>
      <c r="I46" s="206">
        <f>IF(H46=0,"",H46/G46)</f>
        <v>0.35426269790256093</v>
      </c>
      <c r="J46" s="641">
        <f>'C7-CFlow'!K41</f>
        <v>556269712.32572854</v>
      </c>
    </row>
    <row r="47" spans="1:10" ht="5.0999999999999996" customHeight="1" x14ac:dyDescent="0.25">
      <c r="A47" s="177"/>
      <c r="B47" s="209"/>
      <c r="C47" s="210"/>
      <c r="D47" s="32"/>
      <c r="E47" s="32"/>
      <c r="F47" s="32"/>
      <c r="G47" s="32"/>
      <c r="H47" s="32"/>
      <c r="I47" s="211"/>
      <c r="J47" s="212"/>
    </row>
    <row r="48" spans="1:10" ht="25.5" customHeight="1" x14ac:dyDescent="0.25">
      <c r="A48" s="158" t="s">
        <v>928</v>
      </c>
      <c r="B48" s="158" t="str">
        <f>'SC3'!C3</f>
        <v>0-30 Days</v>
      </c>
      <c r="C48" s="149" t="str">
        <f>'SC3'!D3</f>
        <v>31-60 Days</v>
      </c>
      <c r="D48" s="26" t="str">
        <f>'SC3'!E3</f>
        <v>61-90 Days</v>
      </c>
      <c r="E48" s="26" t="str">
        <f>'SC3'!F3</f>
        <v>91-120 Days</v>
      </c>
      <c r="F48" s="26" t="str">
        <f>'SC3'!G3</f>
        <v>121-150 Dys</v>
      </c>
      <c r="G48" s="26" t="str">
        <f>'SC3'!H3</f>
        <v>151-180 Dys</v>
      </c>
      <c r="H48" s="26" t="str">
        <f>'SC3'!I3</f>
        <v>181 Dys-1 Yr</v>
      </c>
      <c r="I48" s="26" t="str">
        <f>'SC3'!J3</f>
        <v>Over 1Yr</v>
      </c>
      <c r="J48" s="24" t="s">
        <v>56</v>
      </c>
    </row>
    <row r="49" spans="1:10" ht="12.75" customHeight="1" x14ac:dyDescent="0.25">
      <c r="A49" s="345" t="str">
        <f>LEFT('SC3'!A4,20)</f>
        <v>Debtors Age Analysis</v>
      </c>
      <c r="B49" s="197"/>
      <c r="C49" s="196"/>
      <c r="D49" s="29"/>
      <c r="E49" s="29"/>
      <c r="F49" s="29"/>
      <c r="G49" s="29"/>
      <c r="H49" s="29"/>
      <c r="I49" s="207"/>
      <c r="J49" s="201"/>
    </row>
    <row r="50" spans="1:10" ht="12.75" customHeight="1" x14ac:dyDescent="0.25">
      <c r="A50" s="172" t="str">
        <f>'SC3'!A14</f>
        <v>Total By Income Source</v>
      </c>
      <c r="B50" s="648">
        <f>'SC3'!C14</f>
        <v>464684848.15000004</v>
      </c>
      <c r="C50" s="649">
        <f>'SC3'!D14</f>
        <v>159560738.65999997</v>
      </c>
      <c r="D50" s="408">
        <f>'SC3'!E14</f>
        <v>118329687.81000002</v>
      </c>
      <c r="E50" s="408">
        <f>'SC3'!F14</f>
        <v>104982051.19999999</v>
      </c>
      <c r="F50" s="408">
        <f>'SC3'!G14</f>
        <v>120660739.36</v>
      </c>
      <c r="G50" s="650">
        <f>'SC3'!H14</f>
        <v>96137849.939999998</v>
      </c>
      <c r="H50" s="408">
        <f>'SC3'!I14</f>
        <v>475255279.87</v>
      </c>
      <c r="I50" s="650">
        <f>'SC3'!J14</f>
        <v>3232895444.7199998</v>
      </c>
      <c r="J50" s="642">
        <f>'SC3'!K14</f>
        <v>4772506639.71</v>
      </c>
    </row>
    <row r="51" spans="1:10" ht="12.75" customHeight="1" x14ac:dyDescent="0.25">
      <c r="A51" s="345" t="str">
        <f>LEFT('SC4'!A5,22)</f>
        <v>Creditors Age Analysis</v>
      </c>
      <c r="B51" s="197"/>
      <c r="C51" s="196"/>
      <c r="D51" s="29"/>
      <c r="E51" s="29"/>
      <c r="F51" s="29"/>
      <c r="G51" s="29"/>
      <c r="H51" s="29"/>
      <c r="I51" s="207"/>
      <c r="J51" s="201"/>
    </row>
    <row r="52" spans="1:10" ht="12.75" customHeight="1" x14ac:dyDescent="0.25">
      <c r="A52" s="172" t="s">
        <v>456</v>
      </c>
      <c r="B52" s="648">
        <f>'SC4'!C15</f>
        <v>226471276.69</v>
      </c>
      <c r="C52" s="649">
        <f>'SC4'!D15</f>
        <v>22034787.700000003</v>
      </c>
      <c r="D52" s="408">
        <f>'SC4'!E15</f>
        <v>-13000520.42</v>
      </c>
      <c r="E52" s="408">
        <f>'SC4'!F15</f>
        <v>63889694.060000002</v>
      </c>
      <c r="F52" s="408">
        <f>'SC4'!G15</f>
        <v>208210342.72000003</v>
      </c>
      <c r="G52" s="650">
        <f>'SC4'!H15</f>
        <v>0</v>
      </c>
      <c r="H52" s="408">
        <f>'SC4'!I15</f>
        <v>0</v>
      </c>
      <c r="I52" s="650">
        <f>'SC4'!J15</f>
        <v>0</v>
      </c>
      <c r="J52" s="642">
        <f>'SC4'!K15</f>
        <v>507605580.75</v>
      </c>
    </row>
    <row r="53" spans="1:10" ht="12.75" customHeight="1" x14ac:dyDescent="0.25">
      <c r="A53" s="177"/>
      <c r="B53" s="198"/>
      <c r="C53" s="202"/>
      <c r="D53" s="203"/>
      <c r="E53" s="203"/>
      <c r="F53" s="203"/>
      <c r="G53" s="203"/>
      <c r="H53" s="203"/>
      <c r="I53" s="211"/>
      <c r="J53" s="204"/>
    </row>
    <row r="54" spans="1:10" ht="12.75" customHeight="1" x14ac:dyDescent="0.25">
      <c r="A54" s="96"/>
      <c r="B54" s="288"/>
      <c r="C54" s="288"/>
      <c r="D54" s="288"/>
      <c r="E54" s="288"/>
      <c r="F54" s="288"/>
      <c r="G54" s="288"/>
      <c r="H54" s="288"/>
      <c r="I54" s="289"/>
      <c r="J54" s="288"/>
    </row>
    <row r="55" spans="1:10" x14ac:dyDescent="0.25">
      <c r="A55" s="1034"/>
      <c r="B55" s="1034"/>
      <c r="C55" s="1034"/>
      <c r="D55" s="1034"/>
      <c r="E55" s="1034"/>
      <c r="F55" s="1034"/>
      <c r="G55" s="1034"/>
      <c r="H55" s="1034"/>
      <c r="I55" s="1034"/>
      <c r="J55" s="1034"/>
    </row>
    <row r="56" spans="1:10" x14ac:dyDescent="0.25">
      <c r="A56" s="221"/>
      <c r="B56" s="221"/>
      <c r="C56" s="221"/>
      <c r="D56" s="221"/>
      <c r="E56" s="221"/>
      <c r="F56" s="221"/>
      <c r="G56" s="221"/>
      <c r="H56" s="221"/>
      <c r="I56" s="148"/>
      <c r="J56" s="221"/>
    </row>
  </sheetData>
  <sheetProtection password="C646" sheet="1" objects="1" scenarios="1"/>
  <mergeCells count="3">
    <mergeCell ref="A55:J55"/>
    <mergeCell ref="A2:A3"/>
    <mergeCell ref="C2:J2"/>
  </mergeCells>
  <phoneticPr fontId="2" type="noConversion"/>
  <printOptions horizontalCentered="1"/>
  <pageMargins left="0.35433070866141736" right="0.15748031496062992" top="0.78740157480314965" bottom="0.59055118110236227" header="0.51181102362204722" footer="0.39370078740157483"/>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indexed="44"/>
    <pageSetUpPr fitToPage="1"/>
  </sheetPr>
  <dimension ref="A1:R94"/>
  <sheetViews>
    <sheetView showGridLines="0" zoomScaleNormal="100" workbookViewId="0">
      <pane xSplit="2" ySplit="4" topLeftCell="C5" activePane="bottomRight" state="frozen"/>
      <selection pane="topRight"/>
      <selection pane="bottomLeft"/>
      <selection pane="bottomRight" sqref="A1:XFD1048576"/>
    </sheetView>
  </sheetViews>
  <sheetFormatPr defaultColWidth="9.140625" defaultRowHeight="12.75" x14ac:dyDescent="0.25"/>
  <cols>
    <col min="1" max="1" width="32.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4" width="9.5703125" style="25" customWidth="1"/>
    <col min="15" max="16" width="21.42578125" style="25" bestFit="1" customWidth="1"/>
    <col min="17" max="17" width="11.7109375" style="25" bestFit="1" customWidth="1"/>
    <col min="18" max="18" width="9.5703125" style="25" customWidth="1"/>
    <col min="19" max="19" width="9.85546875" style="25" customWidth="1"/>
    <col min="20" max="20" width="9.140625" style="25"/>
    <col min="21" max="21" width="9.5703125" style="25" bestFit="1" customWidth="1"/>
    <col min="22" max="16384" width="9.140625" style="25"/>
  </cols>
  <sheetData>
    <row r="1" spans="1:18" ht="13.5" x14ac:dyDescent="0.25">
      <c r="A1" s="1044" t="str">
        <f>muni&amp; " - "&amp;S71A&amp; " - "&amp;date</f>
        <v>KZN225 Msunduzi - Table C2 Consolidated Monthly Budget Statement - Financial Performance (functional classification)  - Mid-Year Assessment</v>
      </c>
      <c r="B1" s="1044"/>
      <c r="C1" s="1044"/>
      <c r="D1" s="1044"/>
      <c r="E1" s="1044"/>
      <c r="F1" s="1044"/>
      <c r="G1" s="1044"/>
      <c r="H1" s="1044"/>
      <c r="I1" s="1044"/>
      <c r="J1" s="1044"/>
      <c r="K1" s="1044"/>
    </row>
    <row r="2" spans="1:18" x14ac:dyDescent="0.25">
      <c r="A2" s="1042" t="str">
        <f>desc</f>
        <v>Description</v>
      </c>
      <c r="B2" s="1040" t="str">
        <f>head27</f>
        <v>Ref</v>
      </c>
      <c r="C2" s="24" t="str">
        <f>Head1</f>
        <v>2019/20</v>
      </c>
      <c r="D2" s="231" t="str">
        <f>Head2</f>
        <v>Budget Year 2020/21</v>
      </c>
      <c r="E2" s="229"/>
      <c r="F2" s="229"/>
      <c r="G2" s="229"/>
      <c r="H2" s="229"/>
      <c r="I2" s="229"/>
      <c r="J2" s="229"/>
      <c r="K2" s="230"/>
    </row>
    <row r="3" spans="1:18" ht="25.5" x14ac:dyDescent="0.25">
      <c r="A3" s="1043"/>
      <c r="B3" s="1041"/>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8" x14ac:dyDescent="0.25">
      <c r="A4" s="34" t="s">
        <v>667</v>
      </c>
      <c r="B4" s="425">
        <v>1</v>
      </c>
      <c r="C4" s="423"/>
      <c r="D4" s="240"/>
      <c r="E4" s="241"/>
      <c r="F4" s="82"/>
      <c r="G4" s="82"/>
      <c r="H4" s="82"/>
      <c r="I4" s="82"/>
      <c r="J4" s="242" t="s">
        <v>575</v>
      </c>
      <c r="K4" s="223"/>
    </row>
    <row r="5" spans="1:18" ht="12.75" customHeight="1" x14ac:dyDescent="0.25">
      <c r="A5" s="35" t="s">
        <v>1136</v>
      </c>
      <c r="B5" s="426"/>
      <c r="C5" s="226"/>
      <c r="D5" s="432"/>
      <c r="E5" s="238"/>
      <c r="F5" s="238"/>
      <c r="G5" s="238"/>
      <c r="H5" s="238"/>
      <c r="I5" s="238"/>
      <c r="J5" s="238"/>
      <c r="K5" s="239"/>
      <c r="L5" s="100"/>
    </row>
    <row r="6" spans="1:18" ht="12.75" customHeight="1" x14ac:dyDescent="0.25">
      <c r="A6" s="414" t="s">
        <v>138</v>
      </c>
      <c r="B6" s="415"/>
      <c r="C6" s="641">
        <f t="shared" ref="C6:H6" si="0">SUM(C7:C9)</f>
        <v>0</v>
      </c>
      <c r="D6" s="669">
        <f t="shared" si="0"/>
        <v>1572338502.3175159</v>
      </c>
      <c r="E6" s="637">
        <f t="shared" si="0"/>
        <v>1661336502.3175159</v>
      </c>
      <c r="F6" s="637">
        <f t="shared" si="0"/>
        <v>259185913.59999996</v>
      </c>
      <c r="G6" s="637">
        <f t="shared" si="0"/>
        <v>979599454.16999996</v>
      </c>
      <c r="H6" s="637">
        <f t="shared" si="0"/>
        <v>830668251.15875804</v>
      </c>
      <c r="I6" s="47">
        <f t="shared" ref="I6:I13" si="1">G6-H6</f>
        <v>148931203.01124191</v>
      </c>
      <c r="J6" s="200">
        <f>IF(I6=0,"",I6/H6)</f>
        <v>0.17929083337841217</v>
      </c>
      <c r="K6" s="641">
        <f>SUM(K7:K9)</f>
        <v>1661336502.3175159</v>
      </c>
      <c r="L6" s="100"/>
      <c r="Q6" s="69"/>
      <c r="R6" s="70"/>
    </row>
    <row r="7" spans="1:18" ht="12.75" customHeight="1" x14ac:dyDescent="0.25">
      <c r="A7" s="416" t="s">
        <v>108</v>
      </c>
      <c r="B7" s="415"/>
      <c r="C7" s="642">
        <f>'C2C'!C7</f>
        <v>0</v>
      </c>
      <c r="D7" s="670">
        <f>'C2C'!D7</f>
        <v>4447530.0133999996</v>
      </c>
      <c r="E7" s="408">
        <f>'C2C'!E7</f>
        <v>4447530.0133999996</v>
      </c>
      <c r="F7" s="408">
        <f>'C2C'!F7</f>
        <v>1125885.6000000001</v>
      </c>
      <c r="G7" s="408">
        <f>'C2C'!G7</f>
        <v>1125885.6000000001</v>
      </c>
      <c r="H7" s="408">
        <f>'C2C'!H7</f>
        <v>2223765.0066999998</v>
      </c>
      <c r="I7" s="47">
        <f t="shared" si="1"/>
        <v>-1097879.4066999997</v>
      </c>
      <c r="J7" s="200">
        <f t="shared" ref="J7:J26" si="2">IF(I7=0,"",I7/H7)</f>
        <v>-0.49370297823384657</v>
      </c>
      <c r="K7" s="642">
        <f>'C2C'!K7</f>
        <v>4447530.0133999996</v>
      </c>
      <c r="L7" s="100"/>
      <c r="Q7" s="69"/>
      <c r="R7" s="70"/>
    </row>
    <row r="8" spans="1:18" ht="12.75" customHeight="1" x14ac:dyDescent="0.25">
      <c r="A8" s="416" t="s">
        <v>1123</v>
      </c>
      <c r="B8" s="415"/>
      <c r="C8" s="643">
        <f>'C2C'!C10</f>
        <v>0</v>
      </c>
      <c r="D8" s="671">
        <f>'C2C'!D10</f>
        <v>1567890972.3041158</v>
      </c>
      <c r="E8" s="672">
        <f>'C2C'!E10</f>
        <v>1656888972.3041158</v>
      </c>
      <c r="F8" s="672">
        <f>'C2C'!F10</f>
        <v>258060027.99999997</v>
      </c>
      <c r="G8" s="672">
        <f>'C2C'!G10</f>
        <v>978473568.56999993</v>
      </c>
      <c r="H8" s="672">
        <f>'C2C'!H10</f>
        <v>828444486.15205801</v>
      </c>
      <c r="I8" s="47">
        <f t="shared" si="1"/>
        <v>150029082.41794193</v>
      </c>
      <c r="J8" s="200">
        <f t="shared" si="2"/>
        <v>0.18109732749238749</v>
      </c>
      <c r="K8" s="673">
        <f>'C2C'!K10</f>
        <v>1656888972.3041158</v>
      </c>
      <c r="L8" s="100"/>
      <c r="Q8" s="69"/>
      <c r="R8" s="70"/>
    </row>
    <row r="9" spans="1:18" ht="12.75" customHeight="1" x14ac:dyDescent="0.25">
      <c r="A9" s="416" t="s">
        <v>1134</v>
      </c>
      <c r="B9" s="415"/>
      <c r="C9" s="642">
        <f>'C2C'!C24</f>
        <v>0</v>
      </c>
      <c r="D9" s="670">
        <f>'C2C'!D24</f>
        <v>0</v>
      </c>
      <c r="E9" s="408">
        <f>'C2C'!E24</f>
        <v>0</v>
      </c>
      <c r="F9" s="408">
        <f>'C2C'!F24</f>
        <v>0</v>
      </c>
      <c r="G9" s="408">
        <f>'C2C'!G24</f>
        <v>0</v>
      </c>
      <c r="H9" s="408">
        <f>'C2C'!H24</f>
        <v>0</v>
      </c>
      <c r="I9" s="47">
        <f t="shared" si="1"/>
        <v>0</v>
      </c>
      <c r="J9" s="200" t="str">
        <f t="shared" si="2"/>
        <v/>
      </c>
      <c r="K9" s="642">
        <f>'C2C'!K24</f>
        <v>0</v>
      </c>
      <c r="L9" s="100"/>
      <c r="Q9" s="69"/>
      <c r="R9" s="70"/>
    </row>
    <row r="10" spans="1:18" ht="12.75" customHeight="1" x14ac:dyDescent="0.25">
      <c r="A10" s="414" t="s">
        <v>109</v>
      </c>
      <c r="B10" s="415"/>
      <c r="C10" s="641">
        <f t="shared" ref="C10:H10" si="3">SUM(C11:C15)</f>
        <v>0</v>
      </c>
      <c r="D10" s="669">
        <f t="shared" si="3"/>
        <v>369251054.47721577</v>
      </c>
      <c r="E10" s="637">
        <f t="shared" si="3"/>
        <v>369251054.47721577</v>
      </c>
      <c r="F10" s="637">
        <f t="shared" si="3"/>
        <v>13303991.220000001</v>
      </c>
      <c r="G10" s="637">
        <f t="shared" si="3"/>
        <v>75463259.50999999</v>
      </c>
      <c r="H10" s="637">
        <f t="shared" si="3"/>
        <v>184625527.23860788</v>
      </c>
      <c r="I10" s="47">
        <f t="shared" si="1"/>
        <v>-109162267.72860789</v>
      </c>
      <c r="J10" s="200">
        <f t="shared" si="2"/>
        <v>-0.59126313333436198</v>
      </c>
      <c r="K10" s="641">
        <f>SUM(K11:K15)</f>
        <v>369251054.47721577</v>
      </c>
      <c r="L10" s="100"/>
      <c r="Q10" s="69"/>
      <c r="R10" s="70"/>
    </row>
    <row r="11" spans="1:18" ht="12.75" customHeight="1" x14ac:dyDescent="0.25">
      <c r="A11" s="416" t="s">
        <v>110</v>
      </c>
      <c r="B11" s="415"/>
      <c r="C11" s="642">
        <f>'C2C'!C27</f>
        <v>0</v>
      </c>
      <c r="D11" s="670">
        <f>'C2C'!D27</f>
        <v>26242986.682700001</v>
      </c>
      <c r="E11" s="408">
        <f>'C2C'!E27</f>
        <v>26242986.682700001</v>
      </c>
      <c r="F11" s="408">
        <f>'C2C'!F27</f>
        <v>1925097.7999999998</v>
      </c>
      <c r="G11" s="408">
        <f>'C2C'!G27</f>
        <v>13802423.92</v>
      </c>
      <c r="H11" s="408">
        <f>'C2C'!H27</f>
        <v>13121493.34135</v>
      </c>
      <c r="I11" s="47">
        <f t="shared" si="1"/>
        <v>680930.57864999957</v>
      </c>
      <c r="J11" s="200">
        <f t="shared" si="2"/>
        <v>5.1894289844599525E-2</v>
      </c>
      <c r="K11" s="642">
        <f>'C2C'!K27</f>
        <v>26242986.682700001</v>
      </c>
      <c r="L11" s="100"/>
      <c r="Q11" s="69"/>
      <c r="R11" s="70"/>
    </row>
    <row r="12" spans="1:18" ht="12.75" customHeight="1" x14ac:dyDescent="0.25">
      <c r="A12" s="416" t="s">
        <v>111</v>
      </c>
      <c r="B12" s="415"/>
      <c r="C12" s="642">
        <f>'C2C'!C49</f>
        <v>0</v>
      </c>
      <c r="D12" s="670">
        <f>'C2C'!D49</f>
        <v>11002054.78726843</v>
      </c>
      <c r="E12" s="408">
        <f>'C2C'!E49</f>
        <v>11002054.78726843</v>
      </c>
      <c r="F12" s="408">
        <f>'C2C'!F49</f>
        <v>10723.85</v>
      </c>
      <c r="G12" s="408">
        <f>'C2C'!G49</f>
        <v>50932.779999999897</v>
      </c>
      <c r="H12" s="408">
        <f>'C2C'!H49</f>
        <v>5501027.393634215</v>
      </c>
      <c r="I12" s="47">
        <f t="shared" si="1"/>
        <v>-5450094.6136342147</v>
      </c>
      <c r="J12" s="200">
        <f t="shared" si="2"/>
        <v>-0.99074122407408116</v>
      </c>
      <c r="K12" s="642">
        <f>'C2C'!K49</f>
        <v>11002054.78726843</v>
      </c>
      <c r="L12" s="100"/>
      <c r="Q12" s="69"/>
      <c r="R12" s="70"/>
    </row>
    <row r="13" spans="1:18" ht="12.75" customHeight="1" x14ac:dyDescent="0.25">
      <c r="A13" s="416" t="s">
        <v>112</v>
      </c>
      <c r="B13" s="415"/>
      <c r="C13" s="642">
        <f>'C2C'!C55</f>
        <v>0</v>
      </c>
      <c r="D13" s="670">
        <f>'C2C'!D55</f>
        <v>3768735.4638999999</v>
      </c>
      <c r="E13" s="408">
        <f>'C2C'!E55</f>
        <v>3768735.4638999999</v>
      </c>
      <c r="F13" s="408">
        <f>'C2C'!F55</f>
        <v>3011816.9200000004</v>
      </c>
      <c r="G13" s="408">
        <f>'C2C'!G55</f>
        <v>6811922.3300000001</v>
      </c>
      <c r="H13" s="408">
        <f>'C2C'!H55</f>
        <v>1884367.7319499999</v>
      </c>
      <c r="I13" s="47">
        <f t="shared" si="1"/>
        <v>4927554.5980500001</v>
      </c>
      <c r="J13" s="200">
        <f t="shared" si="2"/>
        <v>2.6149644331633826</v>
      </c>
      <c r="K13" s="642">
        <f>'C2C'!K55</f>
        <v>3768735.4638999999</v>
      </c>
      <c r="L13" s="100"/>
      <c r="Q13" s="69"/>
      <c r="R13" s="70"/>
    </row>
    <row r="14" spans="1:18" ht="12.75" customHeight="1" x14ac:dyDescent="0.25">
      <c r="A14" s="416" t="s">
        <v>711</v>
      </c>
      <c r="B14" s="415"/>
      <c r="C14" s="642">
        <f>'C2C'!C64</f>
        <v>0</v>
      </c>
      <c r="D14" s="670">
        <f>'C2C'!D64</f>
        <v>328237277.54334736</v>
      </c>
      <c r="E14" s="408">
        <f>'C2C'!E64</f>
        <v>328237277.54334736</v>
      </c>
      <c r="F14" s="408">
        <f>'C2C'!F64</f>
        <v>8356352.6500000004</v>
      </c>
      <c r="G14" s="408">
        <f>'C2C'!G64</f>
        <v>54797980.479999997</v>
      </c>
      <c r="H14" s="408">
        <f>'C2C'!H64</f>
        <v>164118638.77167368</v>
      </c>
      <c r="I14" s="47">
        <f t="shared" ref="I14:I19" si="4">G14-H14</f>
        <v>-109320658.29167369</v>
      </c>
      <c r="J14" s="200">
        <f t="shared" ref="J14:J19" si="5">IF(I14=0,"",I14/H14)</f>
        <v>-0.66610751289354508</v>
      </c>
      <c r="K14" s="642">
        <f>'C2C'!K64</f>
        <v>328237277.54334736</v>
      </c>
      <c r="L14" s="100"/>
      <c r="Q14" s="69"/>
      <c r="R14" s="70"/>
    </row>
    <row r="15" spans="1:18" ht="12.75" customHeight="1" x14ac:dyDescent="0.25">
      <c r="A15" s="416" t="s">
        <v>610</v>
      </c>
      <c r="B15" s="415"/>
      <c r="C15" s="643">
        <f>'C2C'!C67</f>
        <v>0</v>
      </c>
      <c r="D15" s="671">
        <f>'C2C'!D67</f>
        <v>0</v>
      </c>
      <c r="E15" s="672">
        <f>'C2C'!E67</f>
        <v>0</v>
      </c>
      <c r="F15" s="672">
        <f>'C2C'!F67</f>
        <v>0</v>
      </c>
      <c r="G15" s="672">
        <f>'C2C'!G67</f>
        <v>0</v>
      </c>
      <c r="H15" s="672">
        <f>'C2C'!H67</f>
        <v>0</v>
      </c>
      <c r="I15" s="47">
        <f t="shared" si="4"/>
        <v>0</v>
      </c>
      <c r="J15" s="200" t="str">
        <f t="shared" si="5"/>
        <v/>
      </c>
      <c r="K15" s="673">
        <f>'C2C'!K67</f>
        <v>0</v>
      </c>
      <c r="L15" s="100"/>
      <c r="Q15" s="69"/>
      <c r="R15" s="70"/>
    </row>
    <row r="16" spans="1:18" ht="12.75" customHeight="1" x14ac:dyDescent="0.25">
      <c r="A16" s="414" t="s">
        <v>113</v>
      </c>
      <c r="B16" s="417"/>
      <c r="C16" s="641">
        <f t="shared" ref="C16:H16" si="6">SUM(C17:C19)</f>
        <v>0</v>
      </c>
      <c r="D16" s="669">
        <f t="shared" si="6"/>
        <v>106923434.37381519</v>
      </c>
      <c r="E16" s="637">
        <f t="shared" si="6"/>
        <v>106923434.37381519</v>
      </c>
      <c r="F16" s="637">
        <f t="shared" si="6"/>
        <v>39588222.200000003</v>
      </c>
      <c r="G16" s="637">
        <f t="shared" si="6"/>
        <v>121683260.06999999</v>
      </c>
      <c r="H16" s="637">
        <f t="shared" si="6"/>
        <v>53461717.186907597</v>
      </c>
      <c r="I16" s="47">
        <f t="shared" si="4"/>
        <v>68221542.883092403</v>
      </c>
      <c r="J16" s="200">
        <f t="shared" si="5"/>
        <v>1.2760821476157034</v>
      </c>
      <c r="K16" s="641">
        <f>SUM(K17:K19)</f>
        <v>106923434.37381519</v>
      </c>
      <c r="L16" s="100"/>
      <c r="Q16" s="69"/>
      <c r="R16" s="70"/>
    </row>
    <row r="17" spans="1:18" ht="12.75" customHeight="1" x14ac:dyDescent="0.25">
      <c r="A17" s="416" t="s">
        <v>114</v>
      </c>
      <c r="B17" s="415"/>
      <c r="C17" s="642">
        <f>'C2C'!C76</f>
        <v>0</v>
      </c>
      <c r="D17" s="670">
        <f>'C2C'!D76</f>
        <v>41022287.158399999</v>
      </c>
      <c r="E17" s="408">
        <f>'C2C'!E76</f>
        <v>41022287.158399999</v>
      </c>
      <c r="F17" s="408">
        <f>'C2C'!F76</f>
        <v>869408.52</v>
      </c>
      <c r="G17" s="408">
        <f>'C2C'!G76</f>
        <v>628875.36</v>
      </c>
      <c r="H17" s="408">
        <f>'C2C'!H76</f>
        <v>20511143.5792</v>
      </c>
      <c r="I17" s="47">
        <f t="shared" si="4"/>
        <v>-19882268.2192</v>
      </c>
      <c r="J17" s="200">
        <f t="shared" si="5"/>
        <v>-0.96933981971450234</v>
      </c>
      <c r="K17" s="642">
        <f>'C2C'!K76</f>
        <v>41022287.158399999</v>
      </c>
      <c r="L17" s="100"/>
      <c r="Q17" s="69"/>
      <c r="R17" s="70"/>
    </row>
    <row r="18" spans="1:18" ht="12.75" customHeight="1" x14ac:dyDescent="0.25">
      <c r="A18" s="416" t="s">
        <v>115</v>
      </c>
      <c r="B18" s="415"/>
      <c r="C18" s="642">
        <f>'C2C'!C87</f>
        <v>0</v>
      </c>
      <c r="D18" s="670">
        <f>'C2C'!D87</f>
        <v>65792799.755315199</v>
      </c>
      <c r="E18" s="408">
        <f>'C2C'!E87</f>
        <v>65792799.755315199</v>
      </c>
      <c r="F18" s="408">
        <f>'C2C'!F87</f>
        <v>38710313.68</v>
      </c>
      <c r="G18" s="408">
        <f>'C2C'!G87</f>
        <v>121030634.70999999</v>
      </c>
      <c r="H18" s="408">
        <f>'C2C'!H87</f>
        <v>32896399.8776576</v>
      </c>
      <c r="I18" s="47">
        <f t="shared" si="4"/>
        <v>88134234.832342386</v>
      </c>
      <c r="J18" s="200">
        <f t="shared" si="5"/>
        <v>2.6791452912815825</v>
      </c>
      <c r="K18" s="642">
        <f>'C2C'!K87</f>
        <v>65792799.755315199</v>
      </c>
      <c r="L18" s="100"/>
      <c r="Q18" s="69"/>
      <c r="R18" s="70"/>
    </row>
    <row r="19" spans="1:18" ht="12.75" customHeight="1" x14ac:dyDescent="0.25">
      <c r="A19" s="416" t="s">
        <v>116</v>
      </c>
      <c r="B19" s="415"/>
      <c r="C19" s="642">
        <f>'C2C'!C92</f>
        <v>0</v>
      </c>
      <c r="D19" s="670">
        <f>'C2C'!D92</f>
        <v>108347.4601</v>
      </c>
      <c r="E19" s="408">
        <f>'C2C'!E92</f>
        <v>108347.4601</v>
      </c>
      <c r="F19" s="408">
        <f>'C2C'!F92</f>
        <v>8500</v>
      </c>
      <c r="G19" s="408">
        <f>'C2C'!G92</f>
        <v>23750</v>
      </c>
      <c r="H19" s="408">
        <f>'C2C'!H92</f>
        <v>54173.730049999998</v>
      </c>
      <c r="I19" s="47">
        <f t="shared" si="4"/>
        <v>-30423.730049999998</v>
      </c>
      <c r="J19" s="200">
        <f t="shared" si="5"/>
        <v>-0.56159562987300704</v>
      </c>
      <c r="K19" s="642">
        <f>'C2C'!K92</f>
        <v>108347.4601</v>
      </c>
      <c r="L19" s="100"/>
      <c r="Q19" s="69"/>
      <c r="R19" s="70"/>
    </row>
    <row r="20" spans="1:18" ht="12.75" customHeight="1" x14ac:dyDescent="0.25">
      <c r="A20" s="414" t="s">
        <v>117</v>
      </c>
      <c r="B20" s="417"/>
      <c r="C20" s="641">
        <f>SUM(C21:C24)</f>
        <v>0</v>
      </c>
      <c r="D20" s="669">
        <f t="shared" ref="D20:I20" si="7">SUM(D21:D24)</f>
        <v>4331953791.0175152</v>
      </c>
      <c r="E20" s="637">
        <f t="shared" si="7"/>
        <v>4331577947.017518</v>
      </c>
      <c r="F20" s="637">
        <f t="shared" si="7"/>
        <v>419485147.40999997</v>
      </c>
      <c r="G20" s="637">
        <f t="shared" si="7"/>
        <v>2117191635.3</v>
      </c>
      <c r="H20" s="637">
        <f t="shared" si="7"/>
        <v>2165788973.508759</v>
      </c>
      <c r="I20" s="47">
        <f t="shared" si="7"/>
        <v>-48597338.208759144</v>
      </c>
      <c r="J20" s="200">
        <f t="shared" si="2"/>
        <v>-2.2438630357429237E-2</v>
      </c>
      <c r="K20" s="641">
        <f>SUM(K21:K24)</f>
        <v>4331577947.017518</v>
      </c>
      <c r="L20" s="100"/>
      <c r="Q20" s="69"/>
      <c r="R20" s="70"/>
    </row>
    <row r="21" spans="1:18" ht="12.75" customHeight="1" x14ac:dyDescent="0.25">
      <c r="A21" s="416" t="s">
        <v>1191</v>
      </c>
      <c r="B21" s="415"/>
      <c r="C21" s="642">
        <f>'C2C'!C100</f>
        <v>0</v>
      </c>
      <c r="D21" s="670">
        <f>'C2C'!D100</f>
        <v>2655002808.9206858</v>
      </c>
      <c r="E21" s="408">
        <f>'C2C'!E100</f>
        <v>2655002808.9206858</v>
      </c>
      <c r="F21" s="408">
        <f>'C2C'!F100</f>
        <v>194450724.5</v>
      </c>
      <c r="G21" s="408">
        <f>'C2C'!G100</f>
        <v>1218546930.72</v>
      </c>
      <c r="H21" s="408">
        <f>'C2C'!H100</f>
        <v>1327501404.4603429</v>
      </c>
      <c r="I21" s="47">
        <f>G21-H21</f>
        <v>-108954473.74034286</v>
      </c>
      <c r="J21" s="200">
        <f t="shared" si="2"/>
        <v>-8.2074846304690072E-2</v>
      </c>
      <c r="K21" s="642">
        <f>'C2C'!K100</f>
        <v>2655002808.9206858</v>
      </c>
      <c r="L21" s="100"/>
      <c r="Q21" s="69"/>
      <c r="R21" s="70"/>
    </row>
    <row r="22" spans="1:18" ht="12.75" customHeight="1" x14ac:dyDescent="0.25">
      <c r="A22" s="416" t="s">
        <v>1195</v>
      </c>
      <c r="B22" s="415"/>
      <c r="C22" s="642">
        <f>'C2C'!C104</f>
        <v>0</v>
      </c>
      <c r="D22" s="670">
        <f>'C2C'!D104</f>
        <v>1253549994.0011687</v>
      </c>
      <c r="E22" s="408">
        <f>'C2C'!E104</f>
        <v>1253174150.0011718</v>
      </c>
      <c r="F22" s="408">
        <f>'C2C'!F104</f>
        <v>170832185.56999999</v>
      </c>
      <c r="G22" s="408">
        <f>'C2C'!G104</f>
        <v>658482733.01999998</v>
      </c>
      <c r="H22" s="408">
        <f>'C2C'!H104</f>
        <v>626587075.00058591</v>
      </c>
      <c r="I22" s="47">
        <f>G22-H22</f>
        <v>31895658.019414067</v>
      </c>
      <c r="J22" s="200">
        <f t="shared" si="2"/>
        <v>5.0903791814384682E-2</v>
      </c>
      <c r="K22" s="642">
        <f>'C2C'!K104</f>
        <v>1253174150.0011718</v>
      </c>
      <c r="L22" s="100"/>
      <c r="Q22" s="69"/>
      <c r="R22" s="70"/>
    </row>
    <row r="23" spans="1:18" ht="12.75" customHeight="1" x14ac:dyDescent="0.25">
      <c r="A23" s="416" t="s">
        <v>118</v>
      </c>
      <c r="B23" s="415"/>
      <c r="C23" s="643">
        <f>'C2C'!C108</f>
        <v>0</v>
      </c>
      <c r="D23" s="671">
        <f>'C2C'!D108</f>
        <v>173542219.90182328</v>
      </c>
      <c r="E23" s="672">
        <f>'C2C'!E108</f>
        <v>173542219.90182328</v>
      </c>
      <c r="F23" s="672">
        <f>'C2C'!F108</f>
        <v>34390683.759999998</v>
      </c>
      <c r="G23" s="672">
        <f>'C2C'!G108</f>
        <v>153883463.31999999</v>
      </c>
      <c r="H23" s="672">
        <f>'C2C'!H108</f>
        <v>86771109.950911641</v>
      </c>
      <c r="I23" s="47">
        <f>G23-H23</f>
        <v>67112353.369088352</v>
      </c>
      <c r="J23" s="200">
        <f t="shared" si="2"/>
        <v>0.77344122262646298</v>
      </c>
      <c r="K23" s="673">
        <f>'C2C'!K108</f>
        <v>173542219.90182328</v>
      </c>
      <c r="L23" s="100"/>
      <c r="Q23" s="69"/>
      <c r="R23" s="70"/>
    </row>
    <row r="24" spans="1:18" ht="12.75" customHeight="1" x14ac:dyDescent="0.25">
      <c r="A24" s="416" t="s">
        <v>119</v>
      </c>
      <c r="B24" s="415"/>
      <c r="C24" s="642">
        <f>'C2C'!C113</f>
        <v>0</v>
      </c>
      <c r="D24" s="670">
        <f>'C2C'!D113</f>
        <v>249858768.1938374</v>
      </c>
      <c r="E24" s="408">
        <f>'C2C'!E113</f>
        <v>249858768.1938374</v>
      </c>
      <c r="F24" s="408">
        <f>'C2C'!F113</f>
        <v>19811553.579999998</v>
      </c>
      <c r="G24" s="408">
        <f>'C2C'!G113</f>
        <v>86278508.239999995</v>
      </c>
      <c r="H24" s="408">
        <f>'C2C'!H113</f>
        <v>124929384.0969187</v>
      </c>
      <c r="I24" s="47">
        <f>G24-H24</f>
        <v>-38650875.856918707</v>
      </c>
      <c r="J24" s="200">
        <f t="shared" si="2"/>
        <v>-0.30938178504853453</v>
      </c>
      <c r="K24" s="642">
        <f>'C2C'!K113</f>
        <v>249858768.1938374</v>
      </c>
      <c r="L24" s="100"/>
      <c r="Q24" s="69"/>
      <c r="R24" s="70"/>
    </row>
    <row r="25" spans="1:18" ht="12.75" customHeight="1" x14ac:dyDescent="0.25">
      <c r="A25" s="414" t="s">
        <v>718</v>
      </c>
      <c r="B25" s="417">
        <v>4</v>
      </c>
      <c r="C25" s="641">
        <f>'C2C'!C118</f>
        <v>0</v>
      </c>
      <c r="D25" s="669">
        <f>'C2C'!D118</f>
        <v>63610900.686000004</v>
      </c>
      <c r="E25" s="637">
        <f>'C2C'!E118</f>
        <v>63610900.686000004</v>
      </c>
      <c r="F25" s="637">
        <f>'C2C'!F118</f>
        <v>1935477.16</v>
      </c>
      <c r="G25" s="637">
        <f>'C2C'!G118</f>
        <v>13953078.939999999</v>
      </c>
      <c r="H25" s="637">
        <f>'C2C'!H118</f>
        <v>31805450.343000002</v>
      </c>
      <c r="I25" s="102">
        <f>G25-H25</f>
        <v>-17852371.403000005</v>
      </c>
      <c r="J25" s="713">
        <f t="shared" si="2"/>
        <v>-0.56129912359279321</v>
      </c>
      <c r="K25" s="641">
        <f>'C2C'!K118</f>
        <v>63610900.686000004</v>
      </c>
      <c r="L25" s="100"/>
      <c r="Q25" s="69"/>
      <c r="R25" s="70"/>
    </row>
    <row r="26" spans="1:18" ht="12.75" customHeight="1" x14ac:dyDescent="0.25">
      <c r="A26" s="92" t="s">
        <v>1208</v>
      </c>
      <c r="B26" s="585">
        <v>2</v>
      </c>
      <c r="C26" s="644">
        <f>C6+C10+C16+C20+C25</f>
        <v>0</v>
      </c>
      <c r="D26" s="598">
        <f t="shared" ref="D26:I26" si="8">D6+D10+D16+D20+D25</f>
        <v>6444077682.8720617</v>
      </c>
      <c r="E26" s="545">
        <f t="shared" si="8"/>
        <v>6532699838.8720646</v>
      </c>
      <c r="F26" s="545">
        <f t="shared" si="8"/>
        <v>733498751.58999991</v>
      </c>
      <c r="G26" s="545">
        <f t="shared" si="8"/>
        <v>3307890687.9900002</v>
      </c>
      <c r="H26" s="545">
        <f t="shared" si="8"/>
        <v>3266349919.4360328</v>
      </c>
      <c r="I26" s="545">
        <f t="shared" si="8"/>
        <v>41540768.553967275</v>
      </c>
      <c r="J26" s="599">
        <f t="shared" si="2"/>
        <v>1.271779496335766E-2</v>
      </c>
      <c r="K26" s="597">
        <f>K6+K10+K16+K20+K25</f>
        <v>6532699838.8720646</v>
      </c>
      <c r="L26" s="100"/>
      <c r="Q26" s="71"/>
      <c r="R26" s="72"/>
    </row>
    <row r="27" spans="1:18" ht="5.0999999999999996" customHeight="1" x14ac:dyDescent="0.25">
      <c r="A27" s="42"/>
      <c r="B27" s="426"/>
      <c r="C27" s="645"/>
      <c r="D27" s="532"/>
      <c r="E27" s="47"/>
      <c r="F27" s="47"/>
      <c r="G27" s="47"/>
      <c r="H27" s="47"/>
      <c r="I27" s="47"/>
      <c r="J27" s="47"/>
      <c r="K27" s="385"/>
      <c r="L27" s="100"/>
      <c r="Q27" s="66"/>
    </row>
    <row r="28" spans="1:18" ht="12.75" customHeight="1" x14ac:dyDescent="0.25">
      <c r="A28" s="35" t="s">
        <v>1204</v>
      </c>
      <c r="B28" s="427"/>
      <c r="C28" s="645"/>
      <c r="D28" s="532"/>
      <c r="E28" s="47"/>
      <c r="F28" s="47"/>
      <c r="G28" s="47"/>
      <c r="H28" s="47"/>
      <c r="I28" s="47"/>
      <c r="J28" s="47"/>
      <c r="K28" s="385"/>
      <c r="L28" s="100"/>
      <c r="Q28" s="66"/>
    </row>
    <row r="29" spans="1:18" ht="12.75" customHeight="1" x14ac:dyDescent="0.25">
      <c r="A29" s="414" t="s">
        <v>138</v>
      </c>
      <c r="B29" s="428"/>
      <c r="C29" s="641">
        <f t="shared" ref="C29:H29" si="9">SUM(C30:C32)</f>
        <v>0</v>
      </c>
      <c r="D29" s="669">
        <f t="shared" si="9"/>
        <v>1354264744.2416518</v>
      </c>
      <c r="E29" s="637">
        <f t="shared" si="9"/>
        <v>1360778764.0330372</v>
      </c>
      <c r="F29" s="637">
        <f t="shared" si="9"/>
        <v>81319240.219999984</v>
      </c>
      <c r="G29" s="637">
        <f t="shared" si="9"/>
        <v>440659937.77999991</v>
      </c>
      <c r="H29" s="637">
        <f t="shared" si="9"/>
        <v>680389382.01651859</v>
      </c>
      <c r="I29" s="47">
        <f t="shared" ref="I29:I48" si="10">G29-H29</f>
        <v>-239729444.23651868</v>
      </c>
      <c r="J29" s="200">
        <f>IF(I29=0,"",I29/H29)</f>
        <v>-0.3523415423180406</v>
      </c>
      <c r="K29" s="641">
        <f>SUM(K30:K32)</f>
        <v>1360778764.0330372</v>
      </c>
      <c r="L29" s="100"/>
      <c r="Q29" s="69"/>
    </row>
    <row r="30" spans="1:18" ht="12.75" customHeight="1" x14ac:dyDescent="0.25">
      <c r="A30" s="416" t="s">
        <v>108</v>
      </c>
      <c r="B30" s="428"/>
      <c r="C30" s="642">
        <f>'C2C'!C129</f>
        <v>0</v>
      </c>
      <c r="D30" s="670">
        <f>'C2C'!D129</f>
        <v>137732466.40184778</v>
      </c>
      <c r="E30" s="408">
        <f>'C2C'!E129</f>
        <v>143611790.7278536</v>
      </c>
      <c r="F30" s="408">
        <f>'C2C'!F129</f>
        <v>8749282.540000001</v>
      </c>
      <c r="G30" s="408">
        <f>'C2C'!G129</f>
        <v>52100593.899999991</v>
      </c>
      <c r="H30" s="408">
        <f>'C2C'!H129</f>
        <v>71805895.363926798</v>
      </c>
      <c r="I30" s="47">
        <f t="shared" si="10"/>
        <v>-19705301.463926807</v>
      </c>
      <c r="J30" s="200">
        <f t="shared" ref="J30:J49" si="11">IF(I30=0,"",I30/H30)</f>
        <v>-0.27442456310942653</v>
      </c>
      <c r="K30" s="642">
        <f>'C2C'!K129</f>
        <v>143611790.7278536</v>
      </c>
      <c r="L30" s="100"/>
      <c r="Q30" s="69"/>
    </row>
    <row r="31" spans="1:18" ht="12.75" customHeight="1" x14ac:dyDescent="0.25">
      <c r="A31" s="416" t="s">
        <v>1123</v>
      </c>
      <c r="B31" s="428"/>
      <c r="C31" s="643">
        <f>'C2C'!C132</f>
        <v>0</v>
      </c>
      <c r="D31" s="671">
        <f>'C2C'!D132</f>
        <v>1194545745.0547059</v>
      </c>
      <c r="E31" s="672">
        <f>'C2C'!E132</f>
        <v>1195180440.5200856</v>
      </c>
      <c r="F31" s="672">
        <f>'C2C'!F132</f>
        <v>70347883.689999983</v>
      </c>
      <c r="G31" s="672">
        <f>'C2C'!G132</f>
        <v>381005163.30999994</v>
      </c>
      <c r="H31" s="672">
        <f>'C2C'!H132</f>
        <v>597590220.26004279</v>
      </c>
      <c r="I31" s="47">
        <f t="shared" si="10"/>
        <v>-216585056.95004284</v>
      </c>
      <c r="J31" s="200">
        <f t="shared" si="11"/>
        <v>-0.36243072528160741</v>
      </c>
      <c r="K31" s="673">
        <f>'C2C'!K132</f>
        <v>1195180440.5200856</v>
      </c>
      <c r="L31" s="100"/>
      <c r="Q31" s="69"/>
    </row>
    <row r="32" spans="1:18" ht="12.75" customHeight="1" x14ac:dyDescent="0.25">
      <c r="A32" s="416" t="s">
        <v>1134</v>
      </c>
      <c r="B32" s="428"/>
      <c r="C32" s="642">
        <f>'C2C'!C146</f>
        <v>0</v>
      </c>
      <c r="D32" s="670">
        <f>'C2C'!D146</f>
        <v>21986532.785097998</v>
      </c>
      <c r="E32" s="408">
        <f>'C2C'!E146</f>
        <v>21986532.785097998</v>
      </c>
      <c r="F32" s="408">
        <f>'C2C'!F146</f>
        <v>2222073.9899999998</v>
      </c>
      <c r="G32" s="408">
        <f>'C2C'!G146</f>
        <v>7554180.5700000012</v>
      </c>
      <c r="H32" s="408">
        <f>'C2C'!H146</f>
        <v>10993266.392548999</v>
      </c>
      <c r="I32" s="47">
        <f t="shared" si="10"/>
        <v>-3439085.8225489976</v>
      </c>
      <c r="J32" s="200">
        <f t="shared" si="11"/>
        <v>-0.31283566682964553</v>
      </c>
      <c r="K32" s="642">
        <f>'C2C'!K146</f>
        <v>21986532.785097998</v>
      </c>
      <c r="L32" s="100"/>
      <c r="Q32" s="69"/>
    </row>
    <row r="33" spans="1:17" ht="12.75" customHeight="1" x14ac:dyDescent="0.25">
      <c r="A33" s="414" t="s">
        <v>109</v>
      </c>
      <c r="B33" s="428"/>
      <c r="C33" s="641">
        <f t="shared" ref="C33:H33" si="12">SUM(C34:C38)</f>
        <v>0</v>
      </c>
      <c r="D33" s="669">
        <f t="shared" si="12"/>
        <v>440067727.15977156</v>
      </c>
      <c r="E33" s="637">
        <f t="shared" si="12"/>
        <v>473667727.71673155</v>
      </c>
      <c r="F33" s="637">
        <f t="shared" si="12"/>
        <v>40450414.890000008</v>
      </c>
      <c r="G33" s="637">
        <f t="shared" si="12"/>
        <v>281149981.71000004</v>
      </c>
      <c r="H33" s="637">
        <f t="shared" si="12"/>
        <v>236833863.8583658</v>
      </c>
      <c r="I33" s="47">
        <f t="shared" si="10"/>
        <v>44316117.851634234</v>
      </c>
      <c r="J33" s="200">
        <f t="shared" si="11"/>
        <v>0.18711900878388188</v>
      </c>
      <c r="K33" s="641">
        <f>SUM(K34:K38)</f>
        <v>473667727.71673155</v>
      </c>
      <c r="L33" s="100"/>
      <c r="Q33" s="69"/>
    </row>
    <row r="34" spans="1:17" ht="12.75" customHeight="1" x14ac:dyDescent="0.25">
      <c r="A34" s="416" t="s">
        <v>110</v>
      </c>
      <c r="B34" s="428"/>
      <c r="C34" s="642">
        <f>'C2C'!C149</f>
        <v>0</v>
      </c>
      <c r="D34" s="670">
        <f>'C2C'!D149</f>
        <v>128373725.79885694</v>
      </c>
      <c r="E34" s="408">
        <f>'C2C'!E149</f>
        <v>128373725.79885694</v>
      </c>
      <c r="F34" s="408">
        <f>'C2C'!F149</f>
        <v>10507261.050000003</v>
      </c>
      <c r="G34" s="408">
        <f>'C2C'!G149</f>
        <v>81877559.859999985</v>
      </c>
      <c r="H34" s="408">
        <f>'C2C'!H149</f>
        <v>64186862.899428479</v>
      </c>
      <c r="I34" s="47">
        <f t="shared" si="10"/>
        <v>17690696.960571505</v>
      </c>
      <c r="J34" s="200">
        <f t="shared" si="11"/>
        <v>0.27561242536950692</v>
      </c>
      <c r="K34" s="642">
        <f>'C2C'!K149</f>
        <v>128373725.79885694</v>
      </c>
      <c r="L34" s="100"/>
      <c r="Q34" s="69"/>
    </row>
    <row r="35" spans="1:17" ht="12.75" customHeight="1" x14ac:dyDescent="0.25">
      <c r="A35" s="416" t="s">
        <v>111</v>
      </c>
      <c r="B35" s="428"/>
      <c r="C35" s="642">
        <f>'C2C'!C171</f>
        <v>0</v>
      </c>
      <c r="D35" s="670">
        <f>'C2C'!D171</f>
        <v>114418472.68896006</v>
      </c>
      <c r="E35" s="408">
        <f>'C2C'!E171</f>
        <v>114418472.68896006</v>
      </c>
      <c r="F35" s="408">
        <f>'C2C'!F171</f>
        <v>8988137.9299999997</v>
      </c>
      <c r="G35" s="408">
        <f>'C2C'!G171</f>
        <v>60195800.49000001</v>
      </c>
      <c r="H35" s="408">
        <f>'C2C'!H171</f>
        <v>57209236.34448003</v>
      </c>
      <c r="I35" s="47">
        <f t="shared" si="10"/>
        <v>2986564.1455199793</v>
      </c>
      <c r="J35" s="200">
        <f t="shared" si="11"/>
        <v>5.2204230231927315E-2</v>
      </c>
      <c r="K35" s="642">
        <f>'C2C'!K171</f>
        <v>114418472.68896006</v>
      </c>
      <c r="L35" s="100"/>
      <c r="Q35" s="69"/>
    </row>
    <row r="36" spans="1:17" ht="12.75" customHeight="1" x14ac:dyDescent="0.25">
      <c r="A36" s="416" t="s">
        <v>112</v>
      </c>
      <c r="B36" s="426"/>
      <c r="C36" s="642">
        <f>'C2C'!C177</f>
        <v>0</v>
      </c>
      <c r="D36" s="670">
        <f>'C2C'!D177</f>
        <v>106871795.2822189</v>
      </c>
      <c r="E36" s="408">
        <f>'C2C'!E177</f>
        <v>140471795.83917889</v>
      </c>
      <c r="F36" s="408">
        <f>'C2C'!F177</f>
        <v>14536762.860000003</v>
      </c>
      <c r="G36" s="408">
        <f>'C2C'!G177</f>
        <v>100105650.52000001</v>
      </c>
      <c r="H36" s="408">
        <f>'C2C'!H177</f>
        <v>70235897.919589445</v>
      </c>
      <c r="I36" s="47">
        <f t="shared" si="10"/>
        <v>29869752.600410566</v>
      </c>
      <c r="J36" s="200">
        <f t="shared" si="11"/>
        <v>0.42527757863375465</v>
      </c>
      <c r="K36" s="642">
        <f>'C2C'!K177</f>
        <v>140471795.83917889</v>
      </c>
      <c r="L36" s="100"/>
      <c r="Q36" s="70"/>
    </row>
    <row r="37" spans="1:17" ht="12.75" customHeight="1" x14ac:dyDescent="0.25">
      <c r="A37" s="416" t="s">
        <v>711</v>
      </c>
      <c r="B37" s="426"/>
      <c r="C37" s="642">
        <f>'C2C'!C186</f>
        <v>0</v>
      </c>
      <c r="D37" s="670">
        <f>'C2C'!D186</f>
        <v>90129848.361797929</v>
      </c>
      <c r="E37" s="408">
        <f>'C2C'!E186</f>
        <v>90129848.361797929</v>
      </c>
      <c r="F37" s="408">
        <f>'C2C'!F186</f>
        <v>5682048.9600000018</v>
      </c>
      <c r="G37" s="408">
        <f>'C2C'!G186</f>
        <v>33998856.170000002</v>
      </c>
      <c r="H37" s="408">
        <f>'C2C'!H186</f>
        <v>45064924.180898964</v>
      </c>
      <c r="I37" s="47">
        <f t="shared" si="10"/>
        <v>-11066068.010898963</v>
      </c>
      <c r="J37" s="200">
        <f t="shared" si="11"/>
        <v>-0.24555834081685599</v>
      </c>
      <c r="K37" s="642">
        <f>'C2C'!K186</f>
        <v>90129848.361797929</v>
      </c>
      <c r="L37" s="100"/>
      <c r="Q37" s="70"/>
    </row>
    <row r="38" spans="1:17" ht="12.75" customHeight="1" x14ac:dyDescent="0.25">
      <c r="A38" s="416" t="s">
        <v>610</v>
      </c>
      <c r="B38" s="426"/>
      <c r="C38" s="643">
        <f>'C2C'!C189</f>
        <v>0</v>
      </c>
      <c r="D38" s="671">
        <f>'C2C'!D189</f>
        <v>273885.02793777513</v>
      </c>
      <c r="E38" s="672">
        <f>'C2C'!E189</f>
        <v>273885.02793777513</v>
      </c>
      <c r="F38" s="672">
        <f>'C2C'!F189</f>
        <v>736204.09</v>
      </c>
      <c r="G38" s="672">
        <f>'C2C'!G189</f>
        <v>4972114.67</v>
      </c>
      <c r="H38" s="672">
        <f>'C2C'!H189</f>
        <v>136942.51396888756</v>
      </c>
      <c r="I38" s="47">
        <f t="shared" si="10"/>
        <v>4835172.1560311122</v>
      </c>
      <c r="J38" s="200">
        <f t="shared" si="11"/>
        <v>35.30804288527689</v>
      </c>
      <c r="K38" s="673">
        <f>'C2C'!K189</f>
        <v>273885.02793777513</v>
      </c>
      <c r="L38" s="100"/>
      <c r="Q38" s="70"/>
    </row>
    <row r="39" spans="1:17" ht="12.75" customHeight="1" x14ac:dyDescent="0.25">
      <c r="A39" s="414" t="s">
        <v>113</v>
      </c>
      <c r="B39" s="426"/>
      <c r="C39" s="641">
        <f t="shared" ref="C39:H39" si="13">SUM(C40:C42)</f>
        <v>0</v>
      </c>
      <c r="D39" s="669">
        <f t="shared" si="13"/>
        <v>288173315.58344549</v>
      </c>
      <c r="E39" s="637">
        <f t="shared" si="13"/>
        <v>294295840.6175437</v>
      </c>
      <c r="F39" s="637">
        <f t="shared" si="13"/>
        <v>25606129.030000005</v>
      </c>
      <c r="G39" s="637">
        <f t="shared" si="13"/>
        <v>161397456.33000004</v>
      </c>
      <c r="H39" s="637">
        <f t="shared" si="13"/>
        <v>147147920.30877185</v>
      </c>
      <c r="I39" s="47">
        <f t="shared" si="10"/>
        <v>14249536.021228194</v>
      </c>
      <c r="J39" s="200">
        <f t="shared" si="11"/>
        <v>9.6838174751823144E-2</v>
      </c>
      <c r="K39" s="641">
        <f>SUM(K40:K42)</f>
        <v>294295840.6175437</v>
      </c>
      <c r="L39" s="100"/>
      <c r="Q39" s="70"/>
    </row>
    <row r="40" spans="1:17" ht="12.75" customHeight="1" x14ac:dyDescent="0.25">
      <c r="A40" s="416" t="s">
        <v>114</v>
      </c>
      <c r="B40" s="426"/>
      <c r="C40" s="642">
        <f>'C2C'!C198</f>
        <v>0</v>
      </c>
      <c r="D40" s="670">
        <f>'C2C'!D198</f>
        <v>92239503.875528902</v>
      </c>
      <c r="E40" s="408">
        <f>'C2C'!E198</f>
        <v>92239503.875528902</v>
      </c>
      <c r="F40" s="408">
        <f>'C2C'!F198</f>
        <v>5563188.4300000006</v>
      </c>
      <c r="G40" s="408">
        <f>'C2C'!G198</f>
        <v>32825065.040000007</v>
      </c>
      <c r="H40" s="408">
        <f>'C2C'!H198</f>
        <v>46119751.937764451</v>
      </c>
      <c r="I40" s="47">
        <f t="shared" si="10"/>
        <v>-13294686.897764444</v>
      </c>
      <c r="J40" s="200">
        <f t="shared" si="11"/>
        <v>-0.28826449274282184</v>
      </c>
      <c r="K40" s="642">
        <f>'C2C'!K198</f>
        <v>92239503.875528902</v>
      </c>
      <c r="L40" s="100"/>
      <c r="Q40" s="70"/>
    </row>
    <row r="41" spans="1:17" ht="12.75" customHeight="1" x14ac:dyDescent="0.25">
      <c r="A41" s="416" t="s">
        <v>115</v>
      </c>
      <c r="B41" s="426"/>
      <c r="C41" s="642">
        <f>'C2C'!C209</f>
        <v>0</v>
      </c>
      <c r="D41" s="670">
        <f>'C2C'!D209</f>
        <v>171068986.74871668</v>
      </c>
      <c r="E41" s="408">
        <f>'C2C'!E209</f>
        <v>177191511.78281486</v>
      </c>
      <c r="F41" s="408">
        <f>'C2C'!F209</f>
        <v>18465084.010000005</v>
      </c>
      <c r="G41" s="408">
        <f>'C2C'!G209</f>
        <v>118184705.76000004</v>
      </c>
      <c r="H41" s="408">
        <f>'C2C'!H209</f>
        <v>88595755.89140743</v>
      </c>
      <c r="I41" s="47">
        <f t="shared" si="10"/>
        <v>29588949.868592605</v>
      </c>
      <c r="J41" s="200">
        <f t="shared" si="11"/>
        <v>0.33397705760149538</v>
      </c>
      <c r="K41" s="642">
        <f>'C2C'!K209</f>
        <v>177191511.78281486</v>
      </c>
      <c r="L41" s="100"/>
      <c r="Q41" s="70"/>
    </row>
    <row r="42" spans="1:17" ht="12.75" customHeight="1" x14ac:dyDescent="0.25">
      <c r="A42" s="416" t="s">
        <v>116</v>
      </c>
      <c r="B42" s="426"/>
      <c r="C42" s="642">
        <f>'C2C'!C214</f>
        <v>0</v>
      </c>
      <c r="D42" s="670">
        <f>'C2C'!D214</f>
        <v>24864824.959199883</v>
      </c>
      <c r="E42" s="408">
        <f>'C2C'!E214</f>
        <v>24864824.959199883</v>
      </c>
      <c r="F42" s="408">
        <f>'C2C'!F214</f>
        <v>1577856.5899999999</v>
      </c>
      <c r="G42" s="408">
        <f>'C2C'!G214</f>
        <v>10387685.530000001</v>
      </c>
      <c r="H42" s="408">
        <f>'C2C'!H214</f>
        <v>12432412.479599942</v>
      </c>
      <c r="I42" s="47">
        <f t="shared" si="10"/>
        <v>-2044726.9495999403</v>
      </c>
      <c r="J42" s="200">
        <f t="shared" si="11"/>
        <v>-0.16446743163928043</v>
      </c>
      <c r="K42" s="642">
        <f>'C2C'!K214</f>
        <v>24864824.959199883</v>
      </c>
      <c r="L42" s="100"/>
      <c r="Q42" s="70"/>
    </row>
    <row r="43" spans="1:17" ht="12.75" customHeight="1" x14ac:dyDescent="0.25">
      <c r="A43" s="414" t="s">
        <v>117</v>
      </c>
      <c r="B43" s="426"/>
      <c r="C43" s="641">
        <f>SUM(C44:C47)</f>
        <v>0</v>
      </c>
      <c r="D43" s="669">
        <f t="shared" ref="D43:I43" si="14">SUM(D44:D47)</f>
        <v>3353046546.6774907</v>
      </c>
      <c r="E43" s="637">
        <f t="shared" si="14"/>
        <v>3353046546.6774907</v>
      </c>
      <c r="F43" s="637">
        <f t="shared" si="14"/>
        <v>260639426.47999999</v>
      </c>
      <c r="G43" s="637">
        <f t="shared" si="14"/>
        <v>1811195745.2499983</v>
      </c>
      <c r="H43" s="637">
        <f t="shared" si="14"/>
        <v>1676523273.3387454</v>
      </c>
      <c r="I43" s="47">
        <f t="shared" si="14"/>
        <v>134672471.91125324</v>
      </c>
      <c r="J43" s="200">
        <f t="shared" si="11"/>
        <v>8.0328423740314139E-2</v>
      </c>
      <c r="K43" s="641">
        <f>SUM(K44:K47)</f>
        <v>3353046546.6774907</v>
      </c>
      <c r="L43" s="100"/>
      <c r="Q43" s="70"/>
    </row>
    <row r="44" spans="1:17" ht="12.75" customHeight="1" x14ac:dyDescent="0.25">
      <c r="A44" s="416" t="s">
        <v>1191</v>
      </c>
      <c r="B44" s="426"/>
      <c r="C44" s="642">
        <f>'C2C'!C222</f>
        <v>0</v>
      </c>
      <c r="D44" s="670">
        <f>'C2C'!D222</f>
        <v>2291332272.7237678</v>
      </c>
      <c r="E44" s="408">
        <f>'C2C'!E222</f>
        <v>2291332272.7237678</v>
      </c>
      <c r="F44" s="408">
        <f>'C2C'!F222</f>
        <v>153978577.03000003</v>
      </c>
      <c r="G44" s="408">
        <f>'C2C'!G222</f>
        <v>1188896761.8999987</v>
      </c>
      <c r="H44" s="408">
        <f>'C2C'!H222</f>
        <v>1145666136.3618839</v>
      </c>
      <c r="I44" s="47">
        <f t="shared" si="10"/>
        <v>43230625.538114786</v>
      </c>
      <c r="J44" s="200">
        <f t="shared" si="11"/>
        <v>3.7734051977302611E-2</v>
      </c>
      <c r="K44" s="642">
        <f>'C2C'!K222</f>
        <v>2291332272.7237678</v>
      </c>
      <c r="L44" s="100"/>
      <c r="Q44" s="70"/>
    </row>
    <row r="45" spans="1:17" ht="12.75" customHeight="1" x14ac:dyDescent="0.25">
      <c r="A45" s="416" t="s">
        <v>1195</v>
      </c>
      <c r="B45" s="426"/>
      <c r="C45" s="642">
        <f>'C2C'!C226</f>
        <v>0</v>
      </c>
      <c r="D45" s="670">
        <f>'C2C'!D226</f>
        <v>0</v>
      </c>
      <c r="E45" s="408">
        <f>'C2C'!E226</f>
        <v>0</v>
      </c>
      <c r="F45" s="408">
        <f>'C2C'!F226</f>
        <v>77308332.599999964</v>
      </c>
      <c r="G45" s="408">
        <f>'C2C'!G226</f>
        <v>442554699.89999992</v>
      </c>
      <c r="H45" s="408">
        <f>'C2C'!H226</f>
        <v>0</v>
      </c>
      <c r="I45" s="47">
        <f t="shared" si="10"/>
        <v>442554699.89999992</v>
      </c>
      <c r="J45" s="200" t="e">
        <f t="shared" si="11"/>
        <v>#DIV/0!</v>
      </c>
      <c r="K45" s="642">
        <f>'C2C'!K226</f>
        <v>0</v>
      </c>
      <c r="L45" s="100"/>
      <c r="Q45" s="70"/>
    </row>
    <row r="46" spans="1:17" ht="12.75" customHeight="1" x14ac:dyDescent="0.25">
      <c r="A46" s="416" t="s">
        <v>118</v>
      </c>
      <c r="B46" s="426"/>
      <c r="C46" s="643">
        <f>'C2C'!C230</f>
        <v>0</v>
      </c>
      <c r="D46" s="671">
        <f>'C2C'!D230</f>
        <v>931929869.0260967</v>
      </c>
      <c r="E46" s="672">
        <f>'C2C'!E230</f>
        <v>931929869.0260967</v>
      </c>
      <c r="F46" s="672">
        <f>'C2C'!F230</f>
        <v>20637516.159999996</v>
      </c>
      <c r="G46" s="672">
        <f>'C2C'!G230</f>
        <v>119668851.59999998</v>
      </c>
      <c r="H46" s="672">
        <f>'C2C'!H230</f>
        <v>465964934.51304835</v>
      </c>
      <c r="I46" s="47">
        <f t="shared" si="10"/>
        <v>-346296082.91304839</v>
      </c>
      <c r="J46" s="200">
        <f t="shared" si="11"/>
        <v>-0.74318056416614564</v>
      </c>
      <c r="K46" s="673">
        <f>'C2C'!K230</f>
        <v>931929869.0260967</v>
      </c>
      <c r="L46" s="100"/>
      <c r="Q46" s="70"/>
    </row>
    <row r="47" spans="1:17" ht="12.75" customHeight="1" x14ac:dyDescent="0.25">
      <c r="A47" s="416" t="s">
        <v>119</v>
      </c>
      <c r="B47" s="426"/>
      <c r="C47" s="642">
        <f>'C2C'!C235</f>
        <v>0</v>
      </c>
      <c r="D47" s="670">
        <f>'C2C'!D235</f>
        <v>129784404.92762612</v>
      </c>
      <c r="E47" s="408">
        <f>'C2C'!E235</f>
        <v>129784404.92762612</v>
      </c>
      <c r="F47" s="408">
        <f>'C2C'!F235</f>
        <v>8715000.6899999995</v>
      </c>
      <c r="G47" s="408">
        <f>'C2C'!G235</f>
        <v>60075431.849999979</v>
      </c>
      <c r="H47" s="408">
        <f>'C2C'!H235</f>
        <v>64892202.463813059</v>
      </c>
      <c r="I47" s="47">
        <f t="shared" si="10"/>
        <v>-4816770.6138130799</v>
      </c>
      <c r="J47" s="200">
        <f t="shared" si="11"/>
        <v>-7.422726353754347E-2</v>
      </c>
      <c r="K47" s="642">
        <f>'C2C'!K235</f>
        <v>129784404.92762612</v>
      </c>
      <c r="L47" s="100"/>
      <c r="Q47" s="70"/>
    </row>
    <row r="48" spans="1:17" ht="12.75" customHeight="1" x14ac:dyDescent="0.25">
      <c r="A48" s="414" t="s">
        <v>718</v>
      </c>
      <c r="B48" s="426"/>
      <c r="C48" s="641">
        <f>'C2C'!C240</f>
        <v>0</v>
      </c>
      <c r="D48" s="669">
        <f>'C2C'!D240</f>
        <v>81300979.882271051</v>
      </c>
      <c r="E48" s="637">
        <f>'C2C'!E240</f>
        <v>81300979.882271051</v>
      </c>
      <c r="F48" s="637">
        <f>'C2C'!F240</f>
        <v>4441643.6599999992</v>
      </c>
      <c r="G48" s="637">
        <f>'C2C'!G240</f>
        <v>29901448.869999994</v>
      </c>
      <c r="H48" s="637">
        <f>'C2C'!H240</f>
        <v>40650489.941132292</v>
      </c>
      <c r="I48" s="102">
        <f t="shared" si="10"/>
        <v>-10749041.071132299</v>
      </c>
      <c r="J48" s="713">
        <f t="shared" si="11"/>
        <v>-0.26442586760204967</v>
      </c>
      <c r="K48" s="641">
        <f>'C2C'!K240</f>
        <v>81300979.882271051</v>
      </c>
      <c r="L48" s="100"/>
      <c r="Q48" s="70"/>
    </row>
    <row r="49" spans="1:17" ht="12.75" customHeight="1" x14ac:dyDescent="0.25">
      <c r="A49" s="92" t="s">
        <v>1209</v>
      </c>
      <c r="B49" s="422">
        <v>3</v>
      </c>
      <c r="C49" s="600">
        <f>C29+C33+C39+C43+C48</f>
        <v>0</v>
      </c>
      <c r="D49" s="598">
        <f t="shared" ref="D49:I49" si="15">D29+D33+D39+D43+D48</f>
        <v>5516853313.5446301</v>
      </c>
      <c r="E49" s="545">
        <f t="shared" si="15"/>
        <v>5563089858.9270744</v>
      </c>
      <c r="F49" s="545">
        <f t="shared" si="15"/>
        <v>412456854.28000003</v>
      </c>
      <c r="G49" s="545">
        <f t="shared" si="15"/>
        <v>2724304569.9399981</v>
      </c>
      <c r="H49" s="545">
        <f t="shared" si="15"/>
        <v>2781544929.4635339</v>
      </c>
      <c r="I49" s="545">
        <f t="shared" si="15"/>
        <v>-57240359.523535311</v>
      </c>
      <c r="J49" s="599">
        <f t="shared" si="11"/>
        <v>-2.057862122492303E-2</v>
      </c>
      <c r="K49" s="720">
        <f>K29+K33+K39+K43+K48</f>
        <v>5563089858.9270744</v>
      </c>
      <c r="L49" s="100"/>
      <c r="Q49" s="75"/>
    </row>
    <row r="50" spans="1:17" ht="12.75" customHeight="1" x14ac:dyDescent="0.25">
      <c r="A50" s="94" t="s">
        <v>893</v>
      </c>
      <c r="B50" s="429"/>
      <c r="C50" s="540">
        <f t="shared" ref="C50:H50" si="16">C26-C49</f>
        <v>0</v>
      </c>
      <c r="D50" s="640">
        <f t="shared" si="16"/>
        <v>927224369.32743168</v>
      </c>
      <c r="E50" s="634">
        <f t="shared" si="16"/>
        <v>969609979.94499016</v>
      </c>
      <c r="F50" s="634">
        <f t="shared" si="16"/>
        <v>321041897.30999988</v>
      </c>
      <c r="G50" s="634">
        <f t="shared" si="16"/>
        <v>583586118.0500021</v>
      </c>
      <c r="H50" s="634">
        <f t="shared" si="16"/>
        <v>484804989.97249889</v>
      </c>
      <c r="I50" s="634">
        <f>I26-I49</f>
        <v>98781128.077502578</v>
      </c>
      <c r="J50" s="638">
        <f>IF(I50=0,"",I50/H50)</f>
        <v>0.20375435509256215</v>
      </c>
      <c r="K50" s="639">
        <f>K26-K49</f>
        <v>969609979.94499016</v>
      </c>
      <c r="L50" s="100"/>
    </row>
    <row r="51" spans="1:17" ht="11.25" customHeight="1" x14ac:dyDescent="0.25">
      <c r="A51" s="78" t="str">
        <f>head27a</f>
        <v>References</v>
      </c>
      <c r="B51" s="64"/>
      <c r="C51" s="79"/>
      <c r="D51" s="79"/>
      <c r="E51" s="79"/>
      <c r="F51" s="79"/>
      <c r="G51" s="79"/>
      <c r="H51" s="79"/>
      <c r="I51" s="79"/>
      <c r="J51" s="79"/>
      <c r="K51" s="79"/>
    </row>
    <row r="52" spans="1:17" ht="11.25" customHeight="1" x14ac:dyDescent="0.25">
      <c r="A52" s="584" t="s">
        <v>139</v>
      </c>
      <c r="B52" s="64"/>
      <c r="C52" s="79"/>
      <c r="D52" s="79"/>
      <c r="E52" s="79"/>
      <c r="F52" s="79"/>
      <c r="G52" s="79"/>
      <c r="H52" s="79"/>
      <c r="I52" s="79"/>
      <c r="J52" s="79"/>
      <c r="K52" s="79"/>
    </row>
    <row r="53" spans="1:17" ht="11.25" customHeight="1" x14ac:dyDescent="0.25">
      <c r="A53" s="60" t="s">
        <v>1210</v>
      </c>
      <c r="B53" s="64"/>
      <c r="C53" s="79"/>
      <c r="D53" s="79"/>
      <c r="E53" s="79"/>
      <c r="F53" s="79"/>
      <c r="G53" s="79"/>
      <c r="H53" s="79"/>
      <c r="I53" s="79"/>
      <c r="J53" s="79"/>
      <c r="K53" s="79"/>
    </row>
    <row r="54" spans="1:17" ht="11.25" customHeight="1" x14ac:dyDescent="0.25">
      <c r="A54" s="80" t="s">
        <v>1211</v>
      </c>
      <c r="B54" s="64"/>
      <c r="C54" s="79"/>
      <c r="D54" s="79"/>
      <c r="E54" s="79"/>
      <c r="F54" s="79"/>
      <c r="G54" s="79"/>
      <c r="H54" s="79"/>
      <c r="I54" s="79"/>
      <c r="J54" s="79"/>
      <c r="K54" s="79"/>
    </row>
    <row r="55" spans="1:17" ht="27.75" customHeight="1" x14ac:dyDescent="0.25">
      <c r="A55" s="1045" t="s">
        <v>1212</v>
      </c>
      <c r="B55" s="1045"/>
      <c r="C55" s="1045"/>
      <c r="D55" s="1045"/>
      <c r="E55" s="1045"/>
      <c r="F55" s="1045"/>
      <c r="G55" s="1045"/>
      <c r="H55" s="1045"/>
      <c r="I55" s="1045"/>
      <c r="J55" s="1045"/>
      <c r="K55" s="1045"/>
    </row>
    <row r="56" spans="1:17" ht="11.25" customHeight="1" x14ac:dyDescent="0.25">
      <c r="A56" s="80"/>
      <c r="B56" s="80"/>
      <c r="C56" s="80"/>
      <c r="D56" s="80"/>
      <c r="E56" s="80"/>
      <c r="F56" s="80"/>
      <c r="G56" s="80"/>
      <c r="H56" s="80"/>
      <c r="I56" s="80"/>
      <c r="J56" s="80"/>
      <c r="K56" s="80"/>
    </row>
    <row r="57" spans="1:17" ht="11.25" customHeight="1" x14ac:dyDescent="0.25">
      <c r="A57" s="21"/>
      <c r="B57" s="21"/>
      <c r="C57" s="21"/>
      <c r="D57" s="21"/>
      <c r="E57" s="21"/>
      <c r="F57" s="21"/>
      <c r="G57" s="21"/>
      <c r="H57" s="21"/>
      <c r="I57" s="21"/>
      <c r="J57" s="21"/>
      <c r="K57" s="21"/>
    </row>
    <row r="58" spans="1:17" ht="11.25" customHeight="1" x14ac:dyDescent="0.25">
      <c r="A58" s="21"/>
      <c r="B58" s="21"/>
      <c r="C58" s="21"/>
      <c r="D58" s="21"/>
      <c r="E58" s="21"/>
      <c r="F58" s="21"/>
      <c r="G58" s="21"/>
      <c r="H58" s="21"/>
      <c r="I58" s="21"/>
      <c r="J58" s="21"/>
      <c r="K58" s="21"/>
    </row>
    <row r="59" spans="1:17" ht="11.25" customHeight="1" x14ac:dyDescent="0.25">
      <c r="A59" s="65"/>
      <c r="B59" s="64"/>
      <c r="C59" s="628"/>
      <c r="D59" s="628"/>
      <c r="E59" s="628"/>
      <c r="F59" s="628"/>
      <c r="G59" s="628"/>
      <c r="H59" s="628"/>
      <c r="I59" s="628"/>
      <c r="J59" s="628"/>
      <c r="K59" s="628"/>
    </row>
    <row r="60" spans="1:17" ht="11.25" customHeight="1" x14ac:dyDescent="0.25">
      <c r="A60" s="65"/>
      <c r="B60" s="64"/>
      <c r="C60" s="628"/>
      <c r="D60" s="628"/>
      <c r="E60" s="628"/>
      <c r="F60" s="628"/>
      <c r="G60" s="628"/>
      <c r="H60" s="628"/>
      <c r="I60" s="628"/>
      <c r="J60" s="628"/>
      <c r="K60" s="628"/>
    </row>
    <row r="61" spans="1:17" ht="11.25" customHeight="1" x14ac:dyDescent="0.25"/>
    <row r="62" spans="1:17" ht="11.25" customHeight="1" x14ac:dyDescent="0.25"/>
    <row r="63" spans="1:17" ht="11.25" customHeight="1" x14ac:dyDescent="0.25"/>
    <row r="64" spans="1: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sheetData>
  <sheetProtection password="C646" sheet="1" objects="1" scenarios="1"/>
  <mergeCells count="4">
    <mergeCell ref="B2:B3"/>
    <mergeCell ref="A2:A3"/>
    <mergeCell ref="A1:K1"/>
    <mergeCell ref="A55:K55"/>
  </mergeCells>
  <phoneticPr fontId="2" type="noConversion"/>
  <printOptions horizontalCentered="1"/>
  <pageMargins left="0.36" right="0.17" top="0.79" bottom="0.6" header="0.51181102362204722" footer="0.39"/>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L261"/>
  <sheetViews>
    <sheetView showGridLines="0" workbookViewId="0">
      <pane xSplit="2" ySplit="4" topLeftCell="C224" activePane="bottomRight" state="frozen"/>
      <selection pane="topRight"/>
      <selection pane="bottomLeft"/>
      <selection pane="bottomRight" activeCell="G185" sqref="G185"/>
    </sheetView>
  </sheetViews>
  <sheetFormatPr defaultColWidth="9.140625" defaultRowHeight="13.5" x14ac:dyDescent="0.25"/>
  <cols>
    <col min="1" max="1" width="38.85546875" style="25" customWidth="1"/>
    <col min="2" max="2" width="3" style="68" customWidth="1"/>
    <col min="3" max="5" width="9.28515625" style="25" customWidth="1"/>
    <col min="6" max="6" width="10.28515625" style="25" customWidth="1"/>
    <col min="7" max="7" width="11.5703125" style="25" customWidth="1"/>
    <col min="8" max="8" width="9.28515625" style="25" customWidth="1"/>
    <col min="9" max="10" width="9.28515625" style="100" customWidth="1"/>
    <col min="11" max="11" width="9.28515625" style="25" customWidth="1"/>
    <col min="12" max="12" width="9.5703125" style="25" customWidth="1"/>
    <col min="13" max="16384" width="9.140625" style="686"/>
  </cols>
  <sheetData>
    <row r="1" spans="1:12" x14ac:dyDescent="0.25">
      <c r="A1" s="1044" t="str">
        <f>muni&amp; " - "&amp;S71A&amp; " - "&amp;date</f>
        <v>KZN225 Msunduzi - Table C2 Consolidated Monthly Budget Statement - Financial Performance (functional classification)  - Mid-Year Assessment</v>
      </c>
      <c r="B1" s="1044"/>
      <c r="C1" s="1044"/>
      <c r="D1" s="1044"/>
      <c r="E1" s="1044"/>
      <c r="F1" s="1044"/>
      <c r="G1" s="1044"/>
      <c r="H1" s="1044"/>
      <c r="I1" s="1044"/>
      <c r="J1" s="1044"/>
      <c r="K1" s="1044"/>
    </row>
    <row r="2" spans="1:12" ht="13.5" customHeight="1" x14ac:dyDescent="0.25">
      <c r="A2" s="1042" t="str">
        <f>desc</f>
        <v>Description</v>
      </c>
      <c r="B2" s="1040" t="str">
        <f>head27</f>
        <v>Ref</v>
      </c>
      <c r="C2" s="24" t="str">
        <f>Head1</f>
        <v>2019/20</v>
      </c>
      <c r="D2" s="231" t="str">
        <f>Head2</f>
        <v>Budget Year 2020/21</v>
      </c>
      <c r="E2" s="229"/>
      <c r="F2" s="229"/>
      <c r="G2" s="229"/>
      <c r="H2" s="229"/>
      <c r="I2" s="229"/>
      <c r="J2" s="229"/>
      <c r="K2" s="230"/>
    </row>
    <row r="3" spans="1:12" ht="25.5" x14ac:dyDescent="0.25">
      <c r="A3" s="1043"/>
      <c r="B3" s="1041"/>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2" x14ac:dyDescent="0.25">
      <c r="A4" s="34" t="s">
        <v>667</v>
      </c>
      <c r="B4" s="425">
        <v>1</v>
      </c>
      <c r="C4" s="423"/>
      <c r="D4" s="240"/>
      <c r="E4" s="241"/>
      <c r="F4" s="82"/>
      <c r="G4" s="82"/>
      <c r="H4" s="82"/>
      <c r="I4" s="82"/>
      <c r="J4" s="242" t="s">
        <v>575</v>
      </c>
      <c r="K4" s="223"/>
    </row>
    <row r="5" spans="1:12" x14ac:dyDescent="0.25">
      <c r="A5" s="549" t="s">
        <v>1136</v>
      </c>
      <c r="B5" s="604"/>
      <c r="C5" s="36"/>
      <c r="D5" s="36"/>
      <c r="E5" s="36"/>
      <c r="F5" s="36"/>
      <c r="G5" s="36"/>
      <c r="H5" s="36"/>
      <c r="I5" s="631"/>
      <c r="J5" s="631"/>
      <c r="K5" s="226"/>
      <c r="L5" s="100"/>
    </row>
    <row r="6" spans="1:12" x14ac:dyDescent="0.25">
      <c r="A6" s="414" t="s">
        <v>159</v>
      </c>
      <c r="B6" s="415"/>
      <c r="C6" s="605">
        <f t="shared" ref="C6:H6" si="0">C7+C10+C24</f>
        <v>0</v>
      </c>
      <c r="D6" s="605">
        <f t="shared" si="0"/>
        <v>1572338502.3175159</v>
      </c>
      <c r="E6" s="605">
        <f t="shared" si="0"/>
        <v>1661336502.3175159</v>
      </c>
      <c r="F6" s="605">
        <f t="shared" si="0"/>
        <v>259185913.59999996</v>
      </c>
      <c r="G6" s="605">
        <f t="shared" si="0"/>
        <v>979599454.16999996</v>
      </c>
      <c r="H6" s="605">
        <f t="shared" si="0"/>
        <v>830668251.15875804</v>
      </c>
      <c r="I6" s="632">
        <f>G6-H6</f>
        <v>148931203.01124191</v>
      </c>
      <c r="J6" s="633">
        <f>IF(I6=0,"",I6/H6)</f>
        <v>0.17929083337841217</v>
      </c>
      <c r="K6" s="606">
        <f>K7+K10+K24</f>
        <v>1661336502.3175159</v>
      </c>
      <c r="L6" s="100"/>
    </row>
    <row r="7" spans="1:12" x14ac:dyDescent="0.25">
      <c r="A7" s="607" t="s">
        <v>108</v>
      </c>
      <c r="B7" s="415"/>
      <c r="C7" s="608">
        <f>SUM(C8:C9)</f>
        <v>0</v>
      </c>
      <c r="D7" s="608">
        <f t="shared" ref="D7:K7" si="1">SUM(D8:D9)</f>
        <v>4447530.0133999996</v>
      </c>
      <c r="E7" s="608">
        <f t="shared" si="1"/>
        <v>4447530.0133999996</v>
      </c>
      <c r="F7" s="608">
        <f t="shared" si="1"/>
        <v>1125885.6000000001</v>
      </c>
      <c r="G7" s="608">
        <f t="shared" si="1"/>
        <v>1125885.6000000001</v>
      </c>
      <c r="H7" s="608">
        <f t="shared" si="1"/>
        <v>2223765.0066999998</v>
      </c>
      <c r="I7" s="608">
        <f t="shared" ref="I7:I123" si="2">G7-H7</f>
        <v>-1097879.4066999997</v>
      </c>
      <c r="J7" s="608">
        <f t="shared" ref="J7:J123" si="3">IF(I7=0,"",I7/H7)</f>
        <v>-0.49370297823384657</v>
      </c>
      <c r="K7" s="610">
        <f t="shared" si="1"/>
        <v>4447530.0133999996</v>
      </c>
      <c r="L7" s="100"/>
    </row>
    <row r="8" spans="1:12" x14ac:dyDescent="0.25">
      <c r="A8" s="695" t="s">
        <v>160</v>
      </c>
      <c r="B8" s="415"/>
      <c r="C8" s="733"/>
      <c r="D8" s="733"/>
      <c r="E8" s="733"/>
      <c r="F8" s="733"/>
      <c r="G8" s="733"/>
      <c r="H8" s="733"/>
      <c r="I8" s="408">
        <f t="shared" si="2"/>
        <v>0</v>
      </c>
      <c r="J8" s="408" t="str">
        <f t="shared" si="3"/>
        <v/>
      </c>
      <c r="K8" s="735"/>
      <c r="L8" s="100"/>
    </row>
    <row r="9" spans="1:12" ht="22.5" x14ac:dyDescent="0.25">
      <c r="A9" s="695" t="s">
        <v>1122</v>
      </c>
      <c r="B9" s="415"/>
      <c r="C9" s="733"/>
      <c r="D9" s="733">
        <v>4447530.0133999996</v>
      </c>
      <c r="E9" s="733">
        <v>4447530.0133999996</v>
      </c>
      <c r="F9" s="733">
        <v>1125885.6000000001</v>
      </c>
      <c r="G9" s="733">
        <v>1125885.6000000001</v>
      </c>
      <c r="H9" s="733">
        <f>E9/12*6</f>
        <v>2223765.0066999998</v>
      </c>
      <c r="I9" s="408">
        <f t="shared" si="2"/>
        <v>-1097879.4066999997</v>
      </c>
      <c r="J9" s="408">
        <f t="shared" si="3"/>
        <v>-0.49370297823384657</v>
      </c>
      <c r="K9" s="735">
        <f>E9</f>
        <v>4447530.0133999996</v>
      </c>
      <c r="L9" s="100"/>
    </row>
    <row r="10" spans="1:12" x14ac:dyDescent="0.25">
      <c r="A10" s="607" t="s">
        <v>1123</v>
      </c>
      <c r="B10" s="415"/>
      <c r="C10" s="608">
        <f t="shared" ref="C10:H10" si="4">SUM(C11:C23)</f>
        <v>0</v>
      </c>
      <c r="D10" s="608">
        <f t="shared" si="4"/>
        <v>1567890972.3041158</v>
      </c>
      <c r="E10" s="608">
        <f t="shared" si="4"/>
        <v>1656888972.3041158</v>
      </c>
      <c r="F10" s="608">
        <f t="shared" si="4"/>
        <v>258060027.99999997</v>
      </c>
      <c r="G10" s="608">
        <f t="shared" si="4"/>
        <v>978473568.56999993</v>
      </c>
      <c r="H10" s="608">
        <f t="shared" si="4"/>
        <v>828444486.15205801</v>
      </c>
      <c r="I10" s="608">
        <f t="shared" ref="I10:I15" si="5">G10-H10</f>
        <v>150029082.41794193</v>
      </c>
      <c r="J10" s="608">
        <f t="shared" ref="J10:J15" si="6">IF(I10=0,"",I10/H10)</f>
        <v>0.18109732749238749</v>
      </c>
      <c r="K10" s="608">
        <f>SUM(K11:K23)</f>
        <v>1656888972.3041158</v>
      </c>
      <c r="L10" s="100"/>
    </row>
    <row r="11" spans="1:12" x14ac:dyDescent="0.25">
      <c r="A11" s="695" t="s">
        <v>1124</v>
      </c>
      <c r="B11" s="415"/>
      <c r="C11" s="733"/>
      <c r="D11" s="733"/>
      <c r="E11" s="733"/>
      <c r="F11" s="733"/>
      <c r="G11" s="733"/>
      <c r="H11" s="733"/>
      <c r="I11" s="408">
        <f t="shared" si="5"/>
        <v>0</v>
      </c>
      <c r="J11" s="408" t="str">
        <f t="shared" si="6"/>
        <v/>
      </c>
      <c r="K11" s="735"/>
      <c r="L11" s="100"/>
    </row>
    <row r="12" spans="1:12" x14ac:dyDescent="0.25">
      <c r="A12" s="695" t="s">
        <v>1125</v>
      </c>
      <c r="B12" s="415"/>
      <c r="C12" s="733"/>
      <c r="D12" s="733"/>
      <c r="E12" s="733"/>
      <c r="F12" s="733"/>
      <c r="G12" s="733"/>
      <c r="H12" s="733"/>
      <c r="I12" s="408">
        <f t="shared" si="5"/>
        <v>0</v>
      </c>
      <c r="J12" s="408" t="str">
        <f t="shared" si="6"/>
        <v/>
      </c>
      <c r="K12" s="735"/>
      <c r="L12" s="100"/>
    </row>
    <row r="13" spans="1:12" x14ac:dyDescent="0.25">
      <c r="A13" s="695" t="s">
        <v>1126</v>
      </c>
      <c r="B13" s="415"/>
      <c r="C13" s="733"/>
      <c r="D13" s="733">
        <v>1548651791.6176159</v>
      </c>
      <c r="E13" s="733">
        <v>1637649791.6176159</v>
      </c>
      <c r="F13" s="733">
        <v>256550502.73999998</v>
      </c>
      <c r="G13" s="733">
        <v>975181168.32000005</v>
      </c>
      <c r="H13" s="733">
        <f>E13/12*6</f>
        <v>818824895.80880809</v>
      </c>
      <c r="I13" s="408">
        <f t="shared" si="5"/>
        <v>156356272.51119196</v>
      </c>
      <c r="J13" s="408">
        <f t="shared" si="6"/>
        <v>0.19095202565470171</v>
      </c>
      <c r="K13" s="735">
        <f>E13</f>
        <v>1637649791.6176159</v>
      </c>
      <c r="L13" s="100"/>
    </row>
    <row r="14" spans="1:12" x14ac:dyDescent="0.25">
      <c r="A14" s="695" t="s">
        <v>1127</v>
      </c>
      <c r="B14" s="415"/>
      <c r="C14" s="733"/>
      <c r="D14" s="733"/>
      <c r="E14" s="733"/>
      <c r="F14" s="733"/>
      <c r="G14" s="733"/>
      <c r="H14" s="733"/>
      <c r="I14" s="408">
        <f t="shared" si="5"/>
        <v>0</v>
      </c>
      <c r="J14" s="408" t="str">
        <f t="shared" si="6"/>
        <v/>
      </c>
      <c r="K14" s="735"/>
      <c r="L14" s="100"/>
    </row>
    <row r="15" spans="1:12" x14ac:dyDescent="0.25">
      <c r="A15" s="695" t="s">
        <v>161</v>
      </c>
      <c r="B15" s="415"/>
      <c r="C15" s="733"/>
      <c r="D15" s="733">
        <v>18980058.640900001</v>
      </c>
      <c r="E15" s="733">
        <v>18980058.640900001</v>
      </c>
      <c r="F15" s="733">
        <v>377534.75</v>
      </c>
      <c r="G15" s="733">
        <v>4165126.28</v>
      </c>
      <c r="H15" s="733">
        <f>E15/12*6</f>
        <v>9490029.3204500005</v>
      </c>
      <c r="I15" s="408">
        <f t="shared" si="5"/>
        <v>-5324903.0404500011</v>
      </c>
      <c r="J15" s="408">
        <f t="shared" si="6"/>
        <v>-0.56110501460468654</v>
      </c>
      <c r="K15" s="735">
        <f>E15</f>
        <v>18980058.640900001</v>
      </c>
      <c r="L15" s="100"/>
    </row>
    <row r="16" spans="1:12" x14ac:dyDescent="0.25">
      <c r="A16" s="695" t="s">
        <v>162</v>
      </c>
      <c r="B16" s="415"/>
      <c r="C16" s="733"/>
      <c r="D16" s="733">
        <v>2016.0139999999999</v>
      </c>
      <c r="E16" s="733">
        <v>2016.0139999999999</v>
      </c>
      <c r="F16" s="733">
        <v>58.26</v>
      </c>
      <c r="G16" s="733">
        <v>116.52</v>
      </c>
      <c r="H16" s="733">
        <f>E16/12*6</f>
        <v>1008.0069999999998</v>
      </c>
      <c r="I16" s="408">
        <f t="shared" ref="I16:I23" si="7">G16-H16</f>
        <v>-891.48699999999985</v>
      </c>
      <c r="J16" s="408">
        <f t="shared" ref="J16:J23" si="8">IF(I16=0,"",I16/H16)</f>
        <v>-0.8844055646438963</v>
      </c>
      <c r="K16" s="735">
        <f>E16</f>
        <v>2016.0139999999999</v>
      </c>
      <c r="L16" s="100"/>
    </row>
    <row r="17" spans="1:12" x14ac:dyDescent="0.25">
      <c r="A17" s="695" t="s">
        <v>1128</v>
      </c>
      <c r="B17" s="415"/>
      <c r="C17" s="733"/>
      <c r="D17" s="733">
        <v>257106.03159999999</v>
      </c>
      <c r="E17" s="733">
        <v>257106.03159999999</v>
      </c>
      <c r="F17" s="733"/>
      <c r="G17" s="733"/>
      <c r="H17" s="733">
        <f>E17/12*6</f>
        <v>128553.01579999999</v>
      </c>
      <c r="I17" s="408">
        <f t="shared" si="7"/>
        <v>-128553.01579999999</v>
      </c>
      <c r="J17" s="408">
        <f t="shared" si="8"/>
        <v>-1</v>
      </c>
      <c r="K17" s="735">
        <f>E17</f>
        <v>257106.03159999999</v>
      </c>
      <c r="L17" s="100"/>
    </row>
    <row r="18" spans="1:12" ht="22.5" x14ac:dyDescent="0.25">
      <c r="A18" s="695" t="s">
        <v>1129</v>
      </c>
      <c r="B18" s="415"/>
      <c r="C18" s="733"/>
      <c r="D18" s="733"/>
      <c r="E18" s="733"/>
      <c r="F18" s="733"/>
      <c r="G18" s="733"/>
      <c r="H18" s="733"/>
      <c r="I18" s="408">
        <f t="shared" si="7"/>
        <v>0</v>
      </c>
      <c r="J18" s="408" t="str">
        <f t="shared" si="8"/>
        <v/>
      </c>
      <c r="K18" s="735"/>
      <c r="L18" s="100"/>
    </row>
    <row r="19" spans="1:12" x14ac:dyDescent="0.25">
      <c r="A19" s="695" t="s">
        <v>163</v>
      </c>
      <c r="B19" s="415"/>
      <c r="C19" s="733"/>
      <c r="D19" s="733"/>
      <c r="E19" s="733"/>
      <c r="F19" s="733">
        <v>1129592.43</v>
      </c>
      <c r="G19" s="733">
        <v>-932381.21</v>
      </c>
      <c r="H19" s="733"/>
      <c r="I19" s="408">
        <f t="shared" si="7"/>
        <v>-932381.21</v>
      </c>
      <c r="J19" s="408" t="e">
        <f t="shared" si="8"/>
        <v>#DIV/0!</v>
      </c>
      <c r="K19" s="735"/>
      <c r="L19" s="100"/>
    </row>
    <row r="20" spans="1:12" x14ac:dyDescent="0.25">
      <c r="A20" s="695" t="s">
        <v>1130</v>
      </c>
      <c r="B20" s="415"/>
      <c r="C20" s="733"/>
      <c r="D20" s="733"/>
      <c r="E20" s="733"/>
      <c r="F20" s="733"/>
      <c r="G20" s="733"/>
      <c r="H20" s="733"/>
      <c r="I20" s="408">
        <f t="shared" si="7"/>
        <v>0</v>
      </c>
      <c r="J20" s="408" t="str">
        <f t="shared" si="8"/>
        <v/>
      </c>
      <c r="K20" s="735"/>
      <c r="L20" s="100"/>
    </row>
    <row r="21" spans="1:12" x14ac:dyDescent="0.25">
      <c r="A21" s="695" t="s">
        <v>1131</v>
      </c>
      <c r="B21" s="415"/>
      <c r="C21" s="733"/>
      <c r="D21" s="733"/>
      <c r="E21" s="733"/>
      <c r="F21" s="733"/>
      <c r="G21" s="733"/>
      <c r="H21" s="733"/>
      <c r="I21" s="408">
        <f t="shared" si="7"/>
        <v>0</v>
      </c>
      <c r="J21" s="408" t="str">
        <f t="shared" si="8"/>
        <v/>
      </c>
      <c r="K21" s="735"/>
      <c r="L21" s="100"/>
    </row>
    <row r="22" spans="1:12" x14ac:dyDescent="0.25">
      <c r="A22" s="695" t="s">
        <v>1132</v>
      </c>
      <c r="B22" s="415"/>
      <c r="C22" s="733"/>
      <c r="D22" s="733"/>
      <c r="E22" s="733"/>
      <c r="F22" s="733">
        <v>2339.8200000000002</v>
      </c>
      <c r="G22" s="733">
        <v>59538.66</v>
      </c>
      <c r="H22" s="733"/>
      <c r="I22" s="408">
        <f t="shared" si="7"/>
        <v>59538.66</v>
      </c>
      <c r="J22" s="408" t="e">
        <f t="shared" si="8"/>
        <v>#DIV/0!</v>
      </c>
      <c r="K22" s="735"/>
      <c r="L22" s="100"/>
    </row>
    <row r="23" spans="1:12" x14ac:dyDescent="0.25">
      <c r="A23" s="695" t="s">
        <v>1133</v>
      </c>
      <c r="B23" s="415"/>
      <c r="C23" s="733"/>
      <c r="D23" s="733"/>
      <c r="E23" s="733"/>
      <c r="F23" s="733"/>
      <c r="G23" s="733"/>
      <c r="H23" s="733"/>
      <c r="I23" s="408">
        <f t="shared" si="7"/>
        <v>0</v>
      </c>
      <c r="J23" s="408" t="str">
        <f t="shared" si="8"/>
        <v/>
      </c>
      <c r="K23" s="735"/>
      <c r="L23" s="100"/>
    </row>
    <row r="24" spans="1:12" x14ac:dyDescent="0.25">
      <c r="A24" s="607" t="s">
        <v>1134</v>
      </c>
      <c r="B24" s="415"/>
      <c r="C24" s="608">
        <f t="shared" ref="C24:H24" si="9">SUM(C25:C25)</f>
        <v>0</v>
      </c>
      <c r="D24" s="608">
        <f t="shared" si="9"/>
        <v>0</v>
      </c>
      <c r="E24" s="608">
        <f t="shared" si="9"/>
        <v>0</v>
      </c>
      <c r="F24" s="608">
        <f t="shared" si="9"/>
        <v>0</v>
      </c>
      <c r="G24" s="608">
        <f t="shared" si="9"/>
        <v>0</v>
      </c>
      <c r="H24" s="608">
        <f t="shared" si="9"/>
        <v>0</v>
      </c>
      <c r="I24" s="608">
        <f t="shared" si="2"/>
        <v>0</v>
      </c>
      <c r="J24" s="608" t="str">
        <f t="shared" si="3"/>
        <v/>
      </c>
      <c r="K24" s="610">
        <f>SUM(K25:K25)</f>
        <v>0</v>
      </c>
      <c r="L24" s="100"/>
    </row>
    <row r="25" spans="1:12" x14ac:dyDescent="0.25">
      <c r="A25" s="695" t="s">
        <v>1135</v>
      </c>
      <c r="B25" s="415"/>
      <c r="C25" s="733"/>
      <c r="D25" s="733"/>
      <c r="E25" s="733"/>
      <c r="F25" s="733"/>
      <c r="G25" s="733"/>
      <c r="H25" s="733"/>
      <c r="I25" s="408">
        <f t="shared" si="2"/>
        <v>0</v>
      </c>
      <c r="J25" s="408" t="str">
        <f t="shared" si="3"/>
        <v/>
      </c>
      <c r="K25" s="735"/>
      <c r="L25" s="100"/>
    </row>
    <row r="26" spans="1:12" x14ac:dyDescent="0.25">
      <c r="A26" s="414" t="s">
        <v>109</v>
      </c>
      <c r="B26" s="415"/>
      <c r="C26" s="605">
        <f>C27+C49+C55+C64+C67</f>
        <v>0</v>
      </c>
      <c r="D26" s="605">
        <f t="shared" ref="D26:K26" si="10">D27+D49+D55+D64+D67</f>
        <v>369251054.47721577</v>
      </c>
      <c r="E26" s="605">
        <f t="shared" si="10"/>
        <v>369251054.47721577</v>
      </c>
      <c r="F26" s="605">
        <f t="shared" si="10"/>
        <v>13303991.220000001</v>
      </c>
      <c r="G26" s="605">
        <f t="shared" si="10"/>
        <v>75463259.50999999</v>
      </c>
      <c r="H26" s="605">
        <f t="shared" si="10"/>
        <v>184625527.23860788</v>
      </c>
      <c r="I26" s="605">
        <f t="shared" si="2"/>
        <v>-109162267.72860789</v>
      </c>
      <c r="J26" s="605">
        <f t="shared" si="3"/>
        <v>-0.59126313333436198</v>
      </c>
      <c r="K26" s="606">
        <f t="shared" si="10"/>
        <v>369251054.47721577</v>
      </c>
      <c r="L26" s="100"/>
    </row>
    <row r="27" spans="1:12" x14ac:dyDescent="0.25">
      <c r="A27" s="607" t="s">
        <v>110</v>
      </c>
      <c r="B27" s="415"/>
      <c r="C27" s="611">
        <f t="shared" ref="C27:H27" si="11">SUM(C28:C48)</f>
        <v>0</v>
      </c>
      <c r="D27" s="611">
        <f t="shared" si="11"/>
        <v>26242986.682700001</v>
      </c>
      <c r="E27" s="611">
        <f t="shared" si="11"/>
        <v>26242986.682700001</v>
      </c>
      <c r="F27" s="611">
        <f t="shared" si="11"/>
        <v>1925097.7999999998</v>
      </c>
      <c r="G27" s="611">
        <f t="shared" si="11"/>
        <v>13802423.92</v>
      </c>
      <c r="H27" s="611">
        <f t="shared" si="11"/>
        <v>13121493.34135</v>
      </c>
      <c r="I27" s="611">
        <f t="shared" si="2"/>
        <v>680930.57864999957</v>
      </c>
      <c r="J27" s="611">
        <f t="shared" si="3"/>
        <v>5.1894289844599525E-2</v>
      </c>
      <c r="K27" s="611">
        <f>SUM(K28:K48)</f>
        <v>26242986.682700001</v>
      </c>
      <c r="L27" s="100"/>
    </row>
    <row r="28" spans="1:12" x14ac:dyDescent="0.25">
      <c r="A28" s="695" t="s">
        <v>165</v>
      </c>
      <c r="B28" s="415"/>
      <c r="C28" s="733"/>
      <c r="D28" s="733"/>
      <c r="E28" s="733"/>
      <c r="F28" s="733"/>
      <c r="G28" s="733"/>
      <c r="H28" s="733"/>
      <c r="I28" s="408">
        <f t="shared" ref="I28:I34" si="12">G28-H28</f>
        <v>0</v>
      </c>
      <c r="J28" s="408" t="str">
        <f t="shared" ref="J28:J34" si="13">IF(I28=0,"",I28/H28)</f>
        <v/>
      </c>
      <c r="K28" s="735"/>
      <c r="L28" s="100"/>
    </row>
    <row r="29" spans="1:12" x14ac:dyDescent="0.25">
      <c r="A29" s="695" t="s">
        <v>712</v>
      </c>
      <c r="B29" s="415"/>
      <c r="C29" s="733"/>
      <c r="D29" s="733"/>
      <c r="E29" s="733"/>
      <c r="F29" s="733"/>
      <c r="G29" s="733"/>
      <c r="H29" s="733"/>
      <c r="I29" s="408">
        <f t="shared" si="12"/>
        <v>0</v>
      </c>
      <c r="J29" s="408" t="str">
        <f t="shared" si="13"/>
        <v/>
      </c>
      <c r="K29" s="735"/>
      <c r="L29" s="100"/>
    </row>
    <row r="30" spans="1:12" x14ac:dyDescent="0.25">
      <c r="A30" s="695" t="s">
        <v>1137</v>
      </c>
      <c r="B30" s="415"/>
      <c r="C30" s="733"/>
      <c r="D30" s="733"/>
      <c r="E30" s="733"/>
      <c r="F30" s="733"/>
      <c r="G30" s="733"/>
      <c r="H30" s="733"/>
      <c r="I30" s="408">
        <f t="shared" si="12"/>
        <v>0</v>
      </c>
      <c r="J30" s="408" t="str">
        <f t="shared" si="13"/>
        <v/>
      </c>
      <c r="K30" s="735"/>
      <c r="L30" s="100"/>
    </row>
    <row r="31" spans="1:12" ht="22.5" x14ac:dyDescent="0.25">
      <c r="A31" s="695" t="s">
        <v>1138</v>
      </c>
      <c r="B31" s="415"/>
      <c r="C31" s="733"/>
      <c r="D31" s="733">
        <v>3523188.2817999995</v>
      </c>
      <c r="E31" s="733">
        <v>3523188.2817999995</v>
      </c>
      <c r="F31" s="733">
        <v>763512.02</v>
      </c>
      <c r="G31" s="733">
        <v>1911483.28</v>
      </c>
      <c r="H31" s="733">
        <f>E31/12*6</f>
        <v>1761594.1408999998</v>
      </c>
      <c r="I31" s="408">
        <f t="shared" si="12"/>
        <v>149889.13910000026</v>
      </c>
      <c r="J31" s="408">
        <f t="shared" si="13"/>
        <v>8.5087214824307825E-2</v>
      </c>
      <c r="K31" s="735">
        <f>E31</f>
        <v>3523188.2817999995</v>
      </c>
      <c r="L31" s="100"/>
    </row>
    <row r="32" spans="1:12" x14ac:dyDescent="0.25">
      <c r="A32" s="695" t="s">
        <v>1139</v>
      </c>
      <c r="B32" s="415"/>
      <c r="C32" s="733"/>
      <c r="D32" s="733"/>
      <c r="E32" s="733"/>
      <c r="F32" s="733"/>
      <c r="G32" s="733"/>
      <c r="H32" s="733"/>
      <c r="I32" s="408">
        <f t="shared" si="12"/>
        <v>0</v>
      </c>
      <c r="J32" s="408" t="str">
        <f t="shared" si="13"/>
        <v/>
      </c>
      <c r="K32" s="735"/>
      <c r="L32" s="100"/>
    </row>
    <row r="33" spans="1:12" x14ac:dyDescent="0.25">
      <c r="A33" s="695" t="s">
        <v>1140</v>
      </c>
      <c r="B33" s="415"/>
      <c r="C33" s="733"/>
      <c r="D33" s="733">
        <v>1045798.4008999999</v>
      </c>
      <c r="E33" s="733">
        <v>1045798.4008999999</v>
      </c>
      <c r="F33" s="733">
        <v>31124.83</v>
      </c>
      <c r="G33" s="733">
        <v>1448615.79</v>
      </c>
      <c r="H33" s="733">
        <f>E33/12*6</f>
        <v>522899.20044999995</v>
      </c>
      <c r="I33" s="408">
        <f t="shared" si="12"/>
        <v>925716.58955000015</v>
      </c>
      <c r="J33" s="408">
        <f t="shared" si="13"/>
        <v>1.7703538057685708</v>
      </c>
      <c r="K33" s="735">
        <f>E33</f>
        <v>1045798.4008999999</v>
      </c>
      <c r="L33" s="100"/>
    </row>
    <row r="34" spans="1:12" x14ac:dyDescent="0.25">
      <c r="A34" s="695" t="s">
        <v>1141</v>
      </c>
      <c r="B34" s="415"/>
      <c r="C34" s="733"/>
      <c r="D34" s="733"/>
      <c r="E34" s="733"/>
      <c r="F34" s="733"/>
      <c r="G34" s="733"/>
      <c r="H34" s="733"/>
      <c r="I34" s="408">
        <f t="shared" si="12"/>
        <v>0</v>
      </c>
      <c r="J34" s="408" t="str">
        <f t="shared" si="13"/>
        <v/>
      </c>
      <c r="K34" s="735"/>
      <c r="L34" s="100"/>
    </row>
    <row r="35" spans="1:12" x14ac:dyDescent="0.25">
      <c r="A35" s="695" t="s">
        <v>1142</v>
      </c>
      <c r="B35" s="415"/>
      <c r="C35" s="733"/>
      <c r="D35" s="733"/>
      <c r="E35" s="733"/>
      <c r="F35" s="733"/>
      <c r="G35" s="733"/>
      <c r="H35" s="733"/>
      <c r="I35" s="408">
        <f t="shared" ref="I35:I40" si="14">G35-H35</f>
        <v>0</v>
      </c>
      <c r="J35" s="408" t="str">
        <f t="shared" ref="J35:J40" si="15">IF(I35=0,"",I35/H35)</f>
        <v/>
      </c>
      <c r="K35" s="735"/>
      <c r="L35" s="100"/>
    </row>
    <row r="36" spans="1:12" x14ac:dyDescent="0.25">
      <c r="A36" s="695" t="s">
        <v>1143</v>
      </c>
      <c r="B36" s="415"/>
      <c r="C36" s="733"/>
      <c r="D36" s="733"/>
      <c r="E36" s="733"/>
      <c r="F36" s="733"/>
      <c r="G36" s="733"/>
      <c r="H36" s="733"/>
      <c r="I36" s="408">
        <f t="shared" si="14"/>
        <v>0</v>
      </c>
      <c r="J36" s="408" t="str">
        <f t="shared" si="15"/>
        <v/>
      </c>
      <c r="K36" s="735"/>
      <c r="L36" s="100"/>
    </row>
    <row r="37" spans="1:12" x14ac:dyDescent="0.25">
      <c r="A37" s="695" t="s">
        <v>1004</v>
      </c>
      <c r="B37" s="415"/>
      <c r="C37" s="733"/>
      <c r="D37" s="733"/>
      <c r="E37" s="733"/>
      <c r="F37" s="733"/>
      <c r="G37" s="733"/>
      <c r="H37" s="733"/>
      <c r="I37" s="408">
        <f t="shared" si="14"/>
        <v>0</v>
      </c>
      <c r="J37" s="408" t="str">
        <f t="shared" si="15"/>
        <v/>
      </c>
      <c r="K37" s="735"/>
      <c r="L37" s="100"/>
    </row>
    <row r="38" spans="1:12" x14ac:dyDescent="0.25">
      <c r="A38" s="695" t="s">
        <v>1144</v>
      </c>
      <c r="B38" s="415"/>
      <c r="C38" s="733"/>
      <c r="D38" s="733"/>
      <c r="E38" s="733"/>
      <c r="F38" s="733"/>
      <c r="G38" s="733"/>
      <c r="H38" s="733"/>
      <c r="I38" s="408">
        <f t="shared" si="14"/>
        <v>0</v>
      </c>
      <c r="J38" s="408" t="str">
        <f t="shared" si="15"/>
        <v/>
      </c>
      <c r="K38" s="735"/>
      <c r="L38" s="100"/>
    </row>
    <row r="39" spans="1:12" x14ac:dyDescent="0.25">
      <c r="A39" s="695" t="s">
        <v>1145</v>
      </c>
      <c r="B39" s="415"/>
      <c r="C39" s="733"/>
      <c r="D39" s="733"/>
      <c r="E39" s="733"/>
      <c r="F39" s="733"/>
      <c r="G39" s="733"/>
      <c r="H39" s="733"/>
      <c r="I39" s="408">
        <f t="shared" si="14"/>
        <v>0</v>
      </c>
      <c r="J39" s="408" t="str">
        <f t="shared" si="15"/>
        <v/>
      </c>
      <c r="K39" s="735"/>
      <c r="L39" s="100"/>
    </row>
    <row r="40" spans="1:12" x14ac:dyDescent="0.25">
      <c r="A40" s="695" t="s">
        <v>1146</v>
      </c>
      <c r="B40" s="415"/>
      <c r="C40" s="733"/>
      <c r="D40" s="733"/>
      <c r="E40" s="733"/>
      <c r="F40" s="733"/>
      <c r="G40" s="733"/>
      <c r="H40" s="733"/>
      <c r="I40" s="408">
        <f t="shared" si="14"/>
        <v>0</v>
      </c>
      <c r="J40" s="408" t="str">
        <f t="shared" si="15"/>
        <v/>
      </c>
      <c r="K40" s="735"/>
      <c r="L40" s="100"/>
    </row>
    <row r="41" spans="1:12" x14ac:dyDescent="0.25">
      <c r="A41" s="695" t="s">
        <v>164</v>
      </c>
      <c r="B41" s="415"/>
      <c r="C41" s="733"/>
      <c r="D41" s="733">
        <v>10974000</v>
      </c>
      <c r="E41" s="733">
        <v>10974000</v>
      </c>
      <c r="F41" s="733">
        <v>1092220.95</v>
      </c>
      <c r="G41" s="733">
        <v>10351298.48</v>
      </c>
      <c r="H41" s="733">
        <f>E41/12*6</f>
        <v>5487000</v>
      </c>
      <c r="I41" s="408">
        <f t="shared" si="2"/>
        <v>4864298.4800000004</v>
      </c>
      <c r="J41" s="408">
        <f t="shared" si="3"/>
        <v>0.88651330052852206</v>
      </c>
      <c r="K41" s="735">
        <f>E41</f>
        <v>10974000</v>
      </c>
      <c r="L41" s="100"/>
    </row>
    <row r="42" spans="1:12" x14ac:dyDescent="0.25">
      <c r="A42" s="695" t="s">
        <v>1147</v>
      </c>
      <c r="B42" s="415"/>
      <c r="C42" s="733"/>
      <c r="D42" s="733"/>
      <c r="E42" s="733"/>
      <c r="F42" s="733"/>
      <c r="G42" s="733"/>
      <c r="H42" s="733"/>
      <c r="I42" s="408">
        <f t="shared" si="2"/>
        <v>0</v>
      </c>
      <c r="J42" s="408" t="str">
        <f t="shared" si="3"/>
        <v/>
      </c>
      <c r="K42" s="735"/>
      <c r="L42" s="100"/>
    </row>
    <row r="43" spans="1:12" x14ac:dyDescent="0.25">
      <c r="A43" s="695" t="s">
        <v>1148</v>
      </c>
      <c r="B43" s="415"/>
      <c r="C43" s="733"/>
      <c r="D43" s="733"/>
      <c r="E43" s="733"/>
      <c r="F43" s="733"/>
      <c r="G43" s="733"/>
      <c r="H43" s="733"/>
      <c r="I43" s="408">
        <f t="shared" si="2"/>
        <v>0</v>
      </c>
      <c r="J43" s="408" t="str">
        <f t="shared" si="3"/>
        <v/>
      </c>
      <c r="K43" s="735"/>
      <c r="L43" s="100"/>
    </row>
    <row r="44" spans="1:12" x14ac:dyDescent="0.25">
      <c r="A44" s="695" t="s">
        <v>1149</v>
      </c>
      <c r="B44" s="415"/>
      <c r="C44" s="733"/>
      <c r="D44" s="733">
        <v>10700000</v>
      </c>
      <c r="E44" s="733">
        <v>10700000</v>
      </c>
      <c r="F44" s="733">
        <v>38240</v>
      </c>
      <c r="G44" s="733">
        <v>91026.37</v>
      </c>
      <c r="H44" s="733">
        <f>E44/12*6</f>
        <v>5350000</v>
      </c>
      <c r="I44" s="408">
        <f t="shared" si="2"/>
        <v>-5258973.63</v>
      </c>
      <c r="J44" s="408">
        <f t="shared" si="3"/>
        <v>-0.9829857252336448</v>
      </c>
      <c r="K44" s="735">
        <f>E44</f>
        <v>10700000</v>
      </c>
      <c r="L44" s="100"/>
    </row>
    <row r="45" spans="1:12" x14ac:dyDescent="0.25">
      <c r="A45" s="695" t="s">
        <v>1150</v>
      </c>
      <c r="B45" s="415"/>
      <c r="C45" s="733"/>
      <c r="D45" s="733"/>
      <c r="E45" s="733"/>
      <c r="F45" s="733"/>
      <c r="G45" s="733"/>
      <c r="H45" s="733"/>
      <c r="I45" s="408">
        <f t="shared" si="2"/>
        <v>0</v>
      </c>
      <c r="J45" s="408" t="str">
        <f t="shared" si="3"/>
        <v/>
      </c>
      <c r="K45" s="735"/>
      <c r="L45" s="100"/>
    </row>
    <row r="46" spans="1:12" x14ac:dyDescent="0.25">
      <c r="A46" s="695" t="s">
        <v>1151</v>
      </c>
      <c r="B46" s="415"/>
      <c r="C46" s="733"/>
      <c r="D46" s="733"/>
      <c r="E46" s="733"/>
      <c r="F46" s="733"/>
      <c r="G46" s="733"/>
      <c r="H46" s="733"/>
      <c r="I46" s="408">
        <f t="shared" si="2"/>
        <v>0</v>
      </c>
      <c r="J46" s="408" t="str">
        <f t="shared" si="3"/>
        <v/>
      </c>
      <c r="K46" s="735"/>
      <c r="L46" s="100"/>
    </row>
    <row r="47" spans="1:12" x14ac:dyDescent="0.25">
      <c r="A47" s="695" t="s">
        <v>1152</v>
      </c>
      <c r="B47" s="415"/>
      <c r="C47" s="733"/>
      <c r="D47" s="733"/>
      <c r="E47" s="733"/>
      <c r="F47" s="733"/>
      <c r="G47" s="733"/>
      <c r="H47" s="733"/>
      <c r="I47" s="408">
        <f t="shared" si="2"/>
        <v>0</v>
      </c>
      <c r="J47" s="408" t="str">
        <f t="shared" si="3"/>
        <v/>
      </c>
      <c r="K47" s="735"/>
      <c r="L47" s="100"/>
    </row>
    <row r="48" spans="1:12" x14ac:dyDescent="0.25">
      <c r="A48" s="695" t="s">
        <v>1153</v>
      </c>
      <c r="B48" s="415"/>
      <c r="C48" s="733"/>
      <c r="D48" s="733"/>
      <c r="E48" s="733"/>
      <c r="F48" s="733"/>
      <c r="G48" s="733"/>
      <c r="H48" s="733"/>
      <c r="I48" s="408">
        <f t="shared" si="2"/>
        <v>0</v>
      </c>
      <c r="J48" s="408" t="str">
        <f t="shared" si="3"/>
        <v/>
      </c>
      <c r="K48" s="735"/>
      <c r="L48" s="100"/>
    </row>
    <row r="49" spans="1:12" x14ac:dyDescent="0.25">
      <c r="A49" s="607" t="s">
        <v>111</v>
      </c>
      <c r="B49" s="415"/>
      <c r="C49" s="611">
        <f>SUM(C50:C54)</f>
        <v>0</v>
      </c>
      <c r="D49" s="611">
        <f t="shared" ref="D49:K49" si="16">SUM(D50:D54)</f>
        <v>11002054.78726843</v>
      </c>
      <c r="E49" s="611">
        <f t="shared" si="16"/>
        <v>11002054.78726843</v>
      </c>
      <c r="F49" s="611">
        <f t="shared" si="16"/>
        <v>10723.85</v>
      </c>
      <c r="G49" s="611">
        <f t="shared" si="16"/>
        <v>50932.779999999897</v>
      </c>
      <c r="H49" s="611">
        <f t="shared" si="16"/>
        <v>5501027.393634215</v>
      </c>
      <c r="I49" s="611">
        <f t="shared" ref="I49:I54" si="17">G49-H49</f>
        <v>-5450094.6136342147</v>
      </c>
      <c r="J49" s="611">
        <f t="shared" ref="J49:J54" si="18">IF(I49=0,"",I49/H49)</f>
        <v>-0.99074122407408116</v>
      </c>
      <c r="K49" s="614">
        <f t="shared" si="16"/>
        <v>11002054.78726843</v>
      </c>
      <c r="L49" s="100"/>
    </row>
    <row r="50" spans="1:12" x14ac:dyDescent="0.25">
      <c r="A50" s="695" t="s">
        <v>1154</v>
      </c>
      <c r="B50" s="415"/>
      <c r="C50" s="733"/>
      <c r="D50" s="733"/>
      <c r="E50" s="733"/>
      <c r="F50" s="733"/>
      <c r="G50" s="733"/>
      <c r="H50" s="733"/>
      <c r="I50" s="408">
        <f t="shared" si="17"/>
        <v>0</v>
      </c>
      <c r="J50" s="408" t="str">
        <f t="shared" si="18"/>
        <v/>
      </c>
      <c r="K50" s="735"/>
      <c r="L50" s="100"/>
    </row>
    <row r="51" spans="1:12" x14ac:dyDescent="0.25">
      <c r="A51" s="695" t="s">
        <v>1155</v>
      </c>
      <c r="B51" s="415"/>
      <c r="C51" s="733"/>
      <c r="D51" s="733"/>
      <c r="E51" s="733"/>
      <c r="F51" s="733"/>
      <c r="G51" s="733"/>
      <c r="H51" s="733"/>
      <c r="I51" s="408">
        <f t="shared" si="17"/>
        <v>0</v>
      </c>
      <c r="J51" s="408" t="str">
        <f t="shared" si="18"/>
        <v/>
      </c>
      <c r="K51" s="735"/>
      <c r="L51" s="100"/>
    </row>
    <row r="52" spans="1:12" x14ac:dyDescent="0.25">
      <c r="A52" s="695" t="s">
        <v>1156</v>
      </c>
      <c r="B52" s="415"/>
      <c r="C52" s="733"/>
      <c r="D52" s="733"/>
      <c r="E52" s="733"/>
      <c r="F52" s="733"/>
      <c r="G52" s="733"/>
      <c r="H52" s="733"/>
      <c r="I52" s="408">
        <f t="shared" si="17"/>
        <v>0</v>
      </c>
      <c r="J52" s="408" t="str">
        <f t="shared" si="18"/>
        <v/>
      </c>
      <c r="K52" s="735"/>
      <c r="L52" s="100"/>
    </row>
    <row r="53" spans="1:12" x14ac:dyDescent="0.25">
      <c r="A53" s="695" t="s">
        <v>1157</v>
      </c>
      <c r="B53" s="415"/>
      <c r="C53" s="733"/>
      <c r="D53" s="733">
        <v>11002054.78726843</v>
      </c>
      <c r="E53" s="733">
        <v>11002054.78726843</v>
      </c>
      <c r="F53" s="733">
        <v>10723.85</v>
      </c>
      <c r="G53" s="733">
        <v>50932.779999999897</v>
      </c>
      <c r="H53" s="733">
        <f>E53/12*6</f>
        <v>5501027.393634215</v>
      </c>
      <c r="I53" s="408">
        <f t="shared" si="17"/>
        <v>-5450094.6136342147</v>
      </c>
      <c r="J53" s="408">
        <f t="shared" si="18"/>
        <v>-0.99074122407408116</v>
      </c>
      <c r="K53" s="735">
        <f>E53</f>
        <v>11002054.78726843</v>
      </c>
      <c r="L53" s="100"/>
    </row>
    <row r="54" spans="1:12" x14ac:dyDescent="0.25">
      <c r="A54" s="695" t="s">
        <v>1158</v>
      </c>
      <c r="B54" s="415"/>
      <c r="C54" s="733"/>
      <c r="D54" s="733"/>
      <c r="E54" s="733"/>
      <c r="F54" s="733"/>
      <c r="G54" s="733"/>
      <c r="H54" s="733"/>
      <c r="I54" s="408">
        <f t="shared" si="17"/>
        <v>0</v>
      </c>
      <c r="J54" s="408" t="str">
        <f t="shared" si="18"/>
        <v/>
      </c>
      <c r="K54" s="735"/>
      <c r="L54" s="100"/>
    </row>
    <row r="55" spans="1:12" x14ac:dyDescent="0.25">
      <c r="A55" s="607" t="s">
        <v>112</v>
      </c>
      <c r="B55" s="415"/>
      <c r="C55" s="611">
        <f>SUM(C56:C63)</f>
        <v>0</v>
      </c>
      <c r="D55" s="611">
        <f t="shared" ref="D55:K55" si="19">SUM(D56:D63)</f>
        <v>3768735.4638999999</v>
      </c>
      <c r="E55" s="611">
        <f t="shared" si="19"/>
        <v>3768735.4638999999</v>
      </c>
      <c r="F55" s="611">
        <f t="shared" si="19"/>
        <v>3011816.9200000004</v>
      </c>
      <c r="G55" s="611">
        <f t="shared" si="19"/>
        <v>6811922.3300000001</v>
      </c>
      <c r="H55" s="611">
        <f t="shared" si="19"/>
        <v>1884367.7319499999</v>
      </c>
      <c r="I55" s="611">
        <f t="shared" si="2"/>
        <v>4927554.5980500001</v>
      </c>
      <c r="J55" s="611">
        <f t="shared" si="3"/>
        <v>2.6149644331633826</v>
      </c>
      <c r="K55" s="614">
        <f t="shared" si="19"/>
        <v>3768735.4638999999</v>
      </c>
      <c r="L55" s="100"/>
    </row>
    <row r="56" spans="1:12" x14ac:dyDescent="0.25">
      <c r="A56" s="695" t="s">
        <v>167</v>
      </c>
      <c r="B56" s="415"/>
      <c r="C56" s="733"/>
      <c r="D56" s="733"/>
      <c r="E56" s="733"/>
      <c r="F56" s="733"/>
      <c r="G56" s="733"/>
      <c r="H56" s="733"/>
      <c r="I56" s="408">
        <f t="shared" si="2"/>
        <v>0</v>
      </c>
      <c r="J56" s="408" t="str">
        <f t="shared" si="3"/>
        <v/>
      </c>
      <c r="K56" s="735"/>
      <c r="L56" s="100"/>
    </row>
    <row r="57" spans="1:12" x14ac:dyDescent="0.25">
      <c r="A57" s="695" t="s">
        <v>1159</v>
      </c>
      <c r="B57" s="415"/>
      <c r="C57" s="733"/>
      <c r="D57" s="733"/>
      <c r="E57" s="733"/>
      <c r="F57" s="733"/>
      <c r="G57" s="733"/>
      <c r="H57" s="733"/>
      <c r="I57" s="408">
        <f t="shared" si="2"/>
        <v>0</v>
      </c>
      <c r="J57" s="408" t="str">
        <f t="shared" si="3"/>
        <v/>
      </c>
      <c r="K57" s="735"/>
      <c r="L57" s="100"/>
    </row>
    <row r="58" spans="1:12" x14ac:dyDescent="0.25">
      <c r="A58" s="695" t="s">
        <v>1160</v>
      </c>
      <c r="B58" s="415"/>
      <c r="C58" s="733"/>
      <c r="D58" s="733"/>
      <c r="E58" s="733"/>
      <c r="F58" s="733"/>
      <c r="G58" s="733"/>
      <c r="H58" s="733"/>
      <c r="I58" s="408">
        <f>G58-H58</f>
        <v>0</v>
      </c>
      <c r="J58" s="408" t="str">
        <f>IF(I58=0,"",I58/H58)</f>
        <v/>
      </c>
      <c r="K58" s="735"/>
      <c r="L58" s="100"/>
    </row>
    <row r="59" spans="1:12" x14ac:dyDescent="0.25">
      <c r="A59" s="695" t="s">
        <v>1161</v>
      </c>
      <c r="B59" s="415"/>
      <c r="C59" s="733"/>
      <c r="D59" s="733"/>
      <c r="E59" s="733"/>
      <c r="F59" s="733"/>
      <c r="G59" s="733"/>
      <c r="H59" s="733"/>
      <c r="I59" s="408">
        <f t="shared" si="2"/>
        <v>0</v>
      </c>
      <c r="J59" s="408" t="str">
        <f t="shared" si="3"/>
        <v/>
      </c>
      <c r="K59" s="735"/>
      <c r="L59" s="100"/>
    </row>
    <row r="60" spans="1:12" x14ac:dyDescent="0.25">
      <c r="A60" s="695" t="s">
        <v>1162</v>
      </c>
      <c r="B60" s="415"/>
      <c r="C60" s="733"/>
      <c r="D60" s="733">
        <v>334269.52130000002</v>
      </c>
      <c r="E60" s="733">
        <v>334269.52130000002</v>
      </c>
      <c r="F60" s="733">
        <v>2969507.18</v>
      </c>
      <c r="G60" s="733">
        <v>6098978.3499999996</v>
      </c>
      <c r="H60" s="733">
        <f>E60/12*6</f>
        <v>167134.76065000001</v>
      </c>
      <c r="I60" s="408">
        <f t="shared" si="2"/>
        <v>5931843.58935</v>
      </c>
      <c r="J60" s="408">
        <f t="shared" si="3"/>
        <v>35.491381722632688</v>
      </c>
      <c r="K60" s="735">
        <f>E60</f>
        <v>334269.52130000002</v>
      </c>
      <c r="L60" s="100"/>
    </row>
    <row r="61" spans="1:12" x14ac:dyDescent="0.25">
      <c r="A61" s="695" t="s">
        <v>1163</v>
      </c>
      <c r="B61" s="415"/>
      <c r="C61" s="733"/>
      <c r="D61" s="733">
        <v>0</v>
      </c>
      <c r="E61" s="733"/>
      <c r="F61" s="733"/>
      <c r="G61" s="733"/>
      <c r="H61" s="733"/>
      <c r="I61" s="408">
        <f>G61-H61</f>
        <v>0</v>
      </c>
      <c r="J61" s="408" t="str">
        <f>IF(I61=0,"",I61/H61)</f>
        <v/>
      </c>
      <c r="K61" s="735"/>
      <c r="L61" s="100"/>
    </row>
    <row r="62" spans="1:12" ht="22.5" x14ac:dyDescent="0.25">
      <c r="A62" s="695" t="s">
        <v>1181</v>
      </c>
      <c r="B62" s="415"/>
      <c r="C62" s="733"/>
      <c r="D62" s="733">
        <v>3434465.9425999997</v>
      </c>
      <c r="E62" s="733">
        <v>3434465.9425999997</v>
      </c>
      <c r="F62" s="733">
        <v>42309.74</v>
      </c>
      <c r="G62" s="733">
        <v>712943.98</v>
      </c>
      <c r="H62" s="733">
        <f>E62/12*6</f>
        <v>1717232.9712999999</v>
      </c>
      <c r="I62" s="408">
        <f>G62-H62</f>
        <v>-1004288.9912999999</v>
      </c>
      <c r="J62" s="408">
        <f>IF(I62=0,"",I62/H62)</f>
        <v>-0.58482978610626213</v>
      </c>
      <c r="K62" s="735">
        <f>E62</f>
        <v>3434465.9425999997</v>
      </c>
      <c r="L62" s="100"/>
    </row>
    <row r="63" spans="1:12" x14ac:dyDescent="0.25">
      <c r="A63" s="695" t="s">
        <v>1182</v>
      </c>
      <c r="B63" s="415"/>
      <c r="C63" s="733"/>
      <c r="D63" s="733"/>
      <c r="E63" s="733"/>
      <c r="F63" s="733"/>
      <c r="G63" s="733"/>
      <c r="H63" s="733"/>
      <c r="I63" s="408">
        <f t="shared" si="2"/>
        <v>0</v>
      </c>
      <c r="J63" s="408" t="str">
        <f t="shared" si="3"/>
        <v/>
      </c>
      <c r="K63" s="735"/>
      <c r="L63" s="100"/>
    </row>
    <row r="64" spans="1:12" x14ac:dyDescent="0.25">
      <c r="A64" s="607" t="s">
        <v>711</v>
      </c>
      <c r="B64" s="415"/>
      <c r="C64" s="611">
        <f t="shared" ref="C64:H64" si="20">SUM(C65:C66)</f>
        <v>0</v>
      </c>
      <c r="D64" s="611">
        <f t="shared" si="20"/>
        <v>328237277.54334736</v>
      </c>
      <c r="E64" s="611">
        <f t="shared" si="20"/>
        <v>328237277.54334736</v>
      </c>
      <c r="F64" s="611">
        <f t="shared" si="20"/>
        <v>8356352.6500000004</v>
      </c>
      <c r="G64" s="611">
        <f t="shared" si="20"/>
        <v>54797980.479999997</v>
      </c>
      <c r="H64" s="611">
        <f t="shared" si="20"/>
        <v>164118638.77167368</v>
      </c>
      <c r="I64" s="611">
        <f>G64-H64</f>
        <v>-109320658.29167369</v>
      </c>
      <c r="J64" s="611">
        <f>IF(I64=0,"",I64/H64)</f>
        <v>-0.66610751289354508</v>
      </c>
      <c r="K64" s="614">
        <f>SUM(K65:K66)</f>
        <v>328237277.54334736</v>
      </c>
      <c r="L64" s="100"/>
    </row>
    <row r="65" spans="1:12" x14ac:dyDescent="0.25">
      <c r="A65" s="695" t="s">
        <v>711</v>
      </c>
      <c r="B65" s="415"/>
      <c r="C65" s="733"/>
      <c r="D65" s="733">
        <v>328237277.54334736</v>
      </c>
      <c r="E65" s="733">
        <v>328237277.54334736</v>
      </c>
      <c r="F65" s="733">
        <v>8356352.6500000004</v>
      </c>
      <c r="G65" s="733">
        <v>54797980.479999997</v>
      </c>
      <c r="H65" s="733">
        <f>E65/12*6</f>
        <v>164118638.77167368</v>
      </c>
      <c r="I65" s="408">
        <f>G65-H65</f>
        <v>-109320658.29167369</v>
      </c>
      <c r="J65" s="408">
        <f>IF(I65=0,"",I65/H65)</f>
        <v>-0.66610751289354508</v>
      </c>
      <c r="K65" s="735">
        <f>E65</f>
        <v>328237277.54334736</v>
      </c>
      <c r="L65" s="100"/>
    </row>
    <row r="66" spans="1:12" x14ac:dyDescent="0.25">
      <c r="A66" s="695" t="s">
        <v>1164</v>
      </c>
      <c r="B66" s="415"/>
      <c r="C66" s="733"/>
      <c r="D66" s="733"/>
      <c r="E66" s="733"/>
      <c r="F66" s="733"/>
      <c r="G66" s="733"/>
      <c r="H66" s="733"/>
      <c r="I66" s="408">
        <f>G66-H66</f>
        <v>0</v>
      </c>
      <c r="J66" s="408" t="str">
        <f>IF(I66=0,"",I66/H66)</f>
        <v/>
      </c>
      <c r="K66" s="735"/>
      <c r="L66" s="100"/>
    </row>
    <row r="67" spans="1:12" x14ac:dyDescent="0.25">
      <c r="A67" s="607" t="s">
        <v>610</v>
      </c>
      <c r="B67" s="415"/>
      <c r="C67" s="611">
        <f t="shared" ref="C67:H67" si="21">SUM(C68:C74)</f>
        <v>0</v>
      </c>
      <c r="D67" s="611">
        <f t="shared" si="21"/>
        <v>0</v>
      </c>
      <c r="E67" s="611">
        <f t="shared" si="21"/>
        <v>0</v>
      </c>
      <c r="F67" s="611">
        <f t="shared" si="21"/>
        <v>0</v>
      </c>
      <c r="G67" s="611">
        <f t="shared" si="21"/>
        <v>0</v>
      </c>
      <c r="H67" s="611">
        <f t="shared" si="21"/>
        <v>0</v>
      </c>
      <c r="I67" s="611">
        <f t="shared" si="2"/>
        <v>0</v>
      </c>
      <c r="J67" s="611" t="str">
        <f t="shared" si="3"/>
        <v/>
      </c>
      <c r="K67" s="611">
        <f>SUM(K68:K74)</f>
        <v>0</v>
      </c>
      <c r="L67" s="100"/>
    </row>
    <row r="68" spans="1:12" x14ac:dyDescent="0.25">
      <c r="A68" s="695" t="s">
        <v>520</v>
      </c>
      <c r="B68" s="415"/>
      <c r="C68" s="733"/>
      <c r="D68" s="733"/>
      <c r="E68" s="733"/>
      <c r="F68" s="733"/>
      <c r="G68" s="733"/>
      <c r="H68" s="733"/>
      <c r="I68" s="408">
        <f t="shared" si="2"/>
        <v>0</v>
      </c>
      <c r="J68" s="408" t="str">
        <f t="shared" si="3"/>
        <v/>
      </c>
      <c r="K68" s="735"/>
      <c r="L68" s="100"/>
    </row>
    <row r="69" spans="1:12" x14ac:dyDescent="0.25">
      <c r="A69" s="695" t="s">
        <v>1165</v>
      </c>
      <c r="B69" s="415"/>
      <c r="C69" s="733"/>
      <c r="D69" s="733"/>
      <c r="E69" s="733"/>
      <c r="F69" s="733"/>
      <c r="G69" s="733"/>
      <c r="H69" s="733"/>
      <c r="I69" s="408">
        <f t="shared" si="2"/>
        <v>0</v>
      </c>
      <c r="J69" s="408" t="str">
        <f t="shared" si="3"/>
        <v/>
      </c>
      <c r="K69" s="735"/>
      <c r="L69" s="100"/>
    </row>
    <row r="70" spans="1:12" x14ac:dyDescent="0.25">
      <c r="A70" s="695" t="s">
        <v>1166</v>
      </c>
      <c r="B70" s="415"/>
      <c r="C70" s="733"/>
      <c r="D70" s="733"/>
      <c r="E70" s="733"/>
      <c r="F70" s="733"/>
      <c r="G70" s="733"/>
      <c r="H70" s="733"/>
      <c r="I70" s="408">
        <f>G70-H70</f>
        <v>0</v>
      </c>
      <c r="J70" s="408" t="str">
        <f>IF(I70=0,"",I70/H70)</f>
        <v/>
      </c>
      <c r="K70" s="735"/>
      <c r="L70" s="100"/>
    </row>
    <row r="71" spans="1:12" x14ac:dyDescent="0.25">
      <c r="A71" s="695" t="s">
        <v>1167</v>
      </c>
      <c r="B71" s="415"/>
      <c r="C71" s="733"/>
      <c r="D71" s="733"/>
      <c r="E71" s="733"/>
      <c r="F71" s="733"/>
      <c r="G71" s="733"/>
      <c r="H71" s="733"/>
      <c r="I71" s="408">
        <f>G71-H71</f>
        <v>0</v>
      </c>
      <c r="J71" s="408" t="str">
        <f>IF(I71=0,"",I71/H71)</f>
        <v/>
      </c>
      <c r="K71" s="735"/>
      <c r="L71" s="100"/>
    </row>
    <row r="72" spans="1:12" ht="33.75" x14ac:dyDescent="0.25">
      <c r="A72" s="695" t="s">
        <v>1168</v>
      </c>
      <c r="B72" s="415"/>
      <c r="C72" s="733"/>
      <c r="D72" s="733"/>
      <c r="E72" s="733"/>
      <c r="F72" s="733"/>
      <c r="G72" s="733"/>
      <c r="H72" s="733"/>
      <c r="I72" s="408">
        <f t="shared" si="2"/>
        <v>0</v>
      </c>
      <c r="J72" s="408" t="str">
        <f t="shared" si="3"/>
        <v/>
      </c>
      <c r="K72" s="735"/>
      <c r="L72" s="100"/>
    </row>
    <row r="73" spans="1:12" x14ac:dyDescent="0.25">
      <c r="A73" s="695" t="s">
        <v>1169</v>
      </c>
      <c r="B73" s="415"/>
      <c r="C73" s="733"/>
      <c r="D73" s="733"/>
      <c r="E73" s="733"/>
      <c r="F73" s="733"/>
      <c r="G73" s="733"/>
      <c r="H73" s="733"/>
      <c r="I73" s="408">
        <f t="shared" si="2"/>
        <v>0</v>
      </c>
      <c r="J73" s="408" t="str">
        <f t="shared" si="3"/>
        <v/>
      </c>
      <c r="K73" s="735"/>
      <c r="L73" s="100"/>
    </row>
    <row r="74" spans="1:12" x14ac:dyDescent="0.25">
      <c r="A74" s="695" t="s">
        <v>1170</v>
      </c>
      <c r="B74" s="415"/>
      <c r="C74" s="733"/>
      <c r="D74" s="733"/>
      <c r="E74" s="733"/>
      <c r="F74" s="733"/>
      <c r="G74" s="733"/>
      <c r="H74" s="733"/>
      <c r="I74" s="408">
        <f t="shared" si="2"/>
        <v>0</v>
      </c>
      <c r="J74" s="408" t="str">
        <f t="shared" si="3"/>
        <v/>
      </c>
      <c r="K74" s="735"/>
      <c r="L74" s="100"/>
    </row>
    <row r="75" spans="1:12" x14ac:dyDescent="0.25">
      <c r="A75" s="414" t="s">
        <v>113</v>
      </c>
      <c r="B75" s="417"/>
      <c r="C75" s="605">
        <f t="shared" ref="C75:H75" si="22">C76+C87+C92</f>
        <v>0</v>
      </c>
      <c r="D75" s="605">
        <f t="shared" si="22"/>
        <v>106923434.37381519</v>
      </c>
      <c r="E75" s="605">
        <f t="shared" si="22"/>
        <v>106923434.37381519</v>
      </c>
      <c r="F75" s="605">
        <f t="shared" si="22"/>
        <v>39588222.200000003</v>
      </c>
      <c r="G75" s="605">
        <f t="shared" si="22"/>
        <v>121683260.06999999</v>
      </c>
      <c r="H75" s="605">
        <f t="shared" si="22"/>
        <v>53461717.186907597</v>
      </c>
      <c r="I75" s="605">
        <f t="shared" si="2"/>
        <v>68221542.883092403</v>
      </c>
      <c r="J75" s="605">
        <f t="shared" si="3"/>
        <v>1.2760821476157034</v>
      </c>
      <c r="K75" s="606">
        <f>K76+K87+K92</f>
        <v>106923434.37381519</v>
      </c>
      <c r="L75" s="100"/>
    </row>
    <row r="76" spans="1:12" x14ac:dyDescent="0.25">
      <c r="A76" s="607" t="s">
        <v>114</v>
      </c>
      <c r="B76" s="417"/>
      <c r="C76" s="611">
        <f t="shared" ref="C76:H76" si="23">SUM(C77:C86)</f>
        <v>0</v>
      </c>
      <c r="D76" s="611">
        <f t="shared" si="23"/>
        <v>41022287.158399999</v>
      </c>
      <c r="E76" s="611">
        <f t="shared" si="23"/>
        <v>41022287.158399999</v>
      </c>
      <c r="F76" s="611">
        <f t="shared" si="23"/>
        <v>869408.52</v>
      </c>
      <c r="G76" s="611">
        <f t="shared" si="23"/>
        <v>628875.36</v>
      </c>
      <c r="H76" s="611">
        <f t="shared" si="23"/>
        <v>20511143.5792</v>
      </c>
      <c r="I76" s="611">
        <f t="shared" si="2"/>
        <v>-19882268.2192</v>
      </c>
      <c r="J76" s="611">
        <f t="shared" si="3"/>
        <v>-0.96933981971450234</v>
      </c>
      <c r="K76" s="611">
        <f>SUM(K77:K86)</f>
        <v>41022287.158399999</v>
      </c>
      <c r="L76" s="100"/>
    </row>
    <row r="77" spans="1:12" x14ac:dyDescent="0.25">
      <c r="A77" s="695" t="s">
        <v>1171</v>
      </c>
      <c r="B77" s="417"/>
      <c r="C77" s="733"/>
      <c r="D77" s="733"/>
      <c r="E77" s="733"/>
      <c r="F77" s="733"/>
      <c r="G77" s="733"/>
      <c r="H77" s="733"/>
      <c r="I77" s="408">
        <f>G77-H77</f>
        <v>0</v>
      </c>
      <c r="J77" s="408" t="str">
        <f>IF(I77=0,"",I77/H77)</f>
        <v/>
      </c>
      <c r="K77" s="735"/>
      <c r="L77" s="100"/>
    </row>
    <row r="78" spans="1:12" ht="22.5" x14ac:dyDescent="0.25">
      <c r="A78" s="695" t="s">
        <v>1172</v>
      </c>
      <c r="B78" s="417"/>
      <c r="C78" s="733"/>
      <c r="D78" s="733"/>
      <c r="E78" s="733"/>
      <c r="F78" s="733"/>
      <c r="G78" s="733"/>
      <c r="H78" s="733"/>
      <c r="I78" s="408">
        <f t="shared" si="2"/>
        <v>0</v>
      </c>
      <c r="J78" s="408" t="str">
        <f t="shared" si="3"/>
        <v/>
      </c>
      <c r="K78" s="735"/>
      <c r="L78" s="100"/>
    </row>
    <row r="79" spans="1:12" x14ac:dyDescent="0.25">
      <c r="A79" s="695" t="s">
        <v>1173</v>
      </c>
      <c r="B79" s="417"/>
      <c r="C79" s="733"/>
      <c r="D79" s="733"/>
      <c r="E79" s="733"/>
      <c r="F79" s="733"/>
      <c r="G79" s="733"/>
      <c r="H79" s="733"/>
      <c r="I79" s="408">
        <f t="shared" si="2"/>
        <v>0</v>
      </c>
      <c r="J79" s="408" t="str">
        <f t="shared" si="3"/>
        <v/>
      </c>
      <c r="K79" s="735"/>
      <c r="L79" s="100"/>
    </row>
    <row r="80" spans="1:12" x14ac:dyDescent="0.25">
      <c r="A80" s="695" t="s">
        <v>1174</v>
      </c>
      <c r="B80" s="417"/>
      <c r="C80" s="733"/>
      <c r="D80" s="733"/>
      <c r="E80" s="733"/>
      <c r="F80" s="733"/>
      <c r="G80" s="733"/>
      <c r="H80" s="733"/>
      <c r="I80" s="408">
        <f>G80-H80</f>
        <v>0</v>
      </c>
      <c r="J80" s="408" t="str">
        <f>IF(I80=0,"",I80/H80)</f>
        <v/>
      </c>
      <c r="K80" s="735"/>
      <c r="L80" s="100"/>
    </row>
    <row r="81" spans="1:12" x14ac:dyDescent="0.25">
      <c r="A81" s="695" t="s">
        <v>1175</v>
      </c>
      <c r="B81" s="417"/>
      <c r="C81" s="733"/>
      <c r="D81" s="733"/>
      <c r="E81" s="733"/>
      <c r="F81" s="733"/>
      <c r="G81" s="733"/>
      <c r="H81" s="733"/>
      <c r="I81" s="408">
        <f>G81-H81</f>
        <v>0</v>
      </c>
      <c r="J81" s="408" t="str">
        <f>IF(I81=0,"",I81/H81)</f>
        <v/>
      </c>
      <c r="K81" s="735"/>
      <c r="L81" s="100"/>
    </row>
    <row r="82" spans="1:12" x14ac:dyDescent="0.25">
      <c r="A82" s="695" t="s">
        <v>1176</v>
      </c>
      <c r="B82" s="417"/>
      <c r="C82" s="733"/>
      <c r="D82" s="733"/>
      <c r="E82" s="733"/>
      <c r="F82" s="733"/>
      <c r="G82" s="733"/>
      <c r="H82" s="733"/>
      <c r="I82" s="408">
        <f>G82-H82</f>
        <v>0</v>
      </c>
      <c r="J82" s="408" t="str">
        <f>IF(I82=0,"",I82/H82)</f>
        <v/>
      </c>
      <c r="K82" s="735"/>
      <c r="L82" s="100"/>
    </row>
    <row r="83" spans="1:12" ht="22.5" x14ac:dyDescent="0.25">
      <c r="A83" s="695" t="s">
        <v>1177</v>
      </c>
      <c r="B83" s="417"/>
      <c r="C83" s="733"/>
      <c r="D83" s="733">
        <v>41022287.158399999</v>
      </c>
      <c r="E83" s="733">
        <v>41022287.158399999</v>
      </c>
      <c r="F83" s="733">
        <v>869408.52</v>
      </c>
      <c r="G83" s="733">
        <v>628875.36</v>
      </c>
      <c r="H83" s="733">
        <f>E83/12*6</f>
        <v>20511143.5792</v>
      </c>
      <c r="I83" s="408">
        <f>G83-H83</f>
        <v>-19882268.2192</v>
      </c>
      <c r="J83" s="408">
        <f>IF(I83=0,"",I83/H83)</f>
        <v>-0.96933981971450234</v>
      </c>
      <c r="K83" s="735">
        <f>E83</f>
        <v>41022287.158399999</v>
      </c>
      <c r="L83" s="100"/>
    </row>
    <row r="84" spans="1:12" x14ac:dyDescent="0.25">
      <c r="A84" s="695" t="s">
        <v>1178</v>
      </c>
      <c r="B84" s="417"/>
      <c r="C84" s="733"/>
      <c r="D84" s="733"/>
      <c r="E84" s="733"/>
      <c r="F84" s="733"/>
      <c r="G84" s="733"/>
      <c r="H84" s="733"/>
      <c r="I84" s="408">
        <f t="shared" si="2"/>
        <v>0</v>
      </c>
      <c r="J84" s="408" t="str">
        <f t="shared" si="3"/>
        <v/>
      </c>
      <c r="K84" s="735"/>
      <c r="L84" s="100"/>
    </row>
    <row r="85" spans="1:12" x14ac:dyDescent="0.25">
      <c r="A85" s="695" t="s">
        <v>1179</v>
      </c>
      <c r="B85" s="417"/>
      <c r="C85" s="733"/>
      <c r="D85" s="733"/>
      <c r="E85" s="733"/>
      <c r="F85" s="733"/>
      <c r="G85" s="733"/>
      <c r="H85" s="733"/>
      <c r="I85" s="408">
        <f t="shared" si="2"/>
        <v>0</v>
      </c>
      <c r="J85" s="408" t="str">
        <f t="shared" si="3"/>
        <v/>
      </c>
      <c r="K85" s="735"/>
      <c r="L85" s="100"/>
    </row>
    <row r="86" spans="1:12" x14ac:dyDescent="0.25">
      <c r="A86" s="695" t="s">
        <v>1180</v>
      </c>
      <c r="B86" s="417"/>
      <c r="C86" s="733"/>
      <c r="D86" s="733"/>
      <c r="E86" s="733"/>
      <c r="F86" s="733"/>
      <c r="G86" s="733"/>
      <c r="H86" s="733"/>
      <c r="I86" s="408">
        <f t="shared" si="2"/>
        <v>0</v>
      </c>
      <c r="J86" s="408" t="str">
        <f t="shared" si="3"/>
        <v/>
      </c>
      <c r="K86" s="735"/>
      <c r="L86" s="100"/>
    </row>
    <row r="87" spans="1:12" x14ac:dyDescent="0.25">
      <c r="A87" s="607" t="s">
        <v>115</v>
      </c>
      <c r="B87" s="417"/>
      <c r="C87" s="611">
        <f t="shared" ref="C87:H87" si="24">SUM(C88:C91)</f>
        <v>0</v>
      </c>
      <c r="D87" s="611">
        <f t="shared" si="24"/>
        <v>65792799.755315199</v>
      </c>
      <c r="E87" s="611">
        <f t="shared" si="24"/>
        <v>65792799.755315199</v>
      </c>
      <c r="F87" s="611">
        <f t="shared" si="24"/>
        <v>38710313.68</v>
      </c>
      <c r="G87" s="611">
        <f t="shared" si="24"/>
        <v>121030634.70999999</v>
      </c>
      <c r="H87" s="611">
        <f t="shared" si="24"/>
        <v>32896399.8776576</v>
      </c>
      <c r="I87" s="611">
        <f t="shared" si="2"/>
        <v>88134234.832342386</v>
      </c>
      <c r="J87" s="611">
        <f t="shared" si="3"/>
        <v>2.6791452912815825</v>
      </c>
      <c r="K87" s="614">
        <f>SUM(K88:K91)</f>
        <v>65792799.755315199</v>
      </c>
      <c r="L87" s="100"/>
    </row>
    <row r="88" spans="1:12" x14ac:dyDescent="0.25">
      <c r="A88" s="695" t="s">
        <v>1183</v>
      </c>
      <c r="B88" s="417"/>
      <c r="C88" s="733"/>
      <c r="D88" s="733">
        <v>65792799.755315199</v>
      </c>
      <c r="E88" s="733">
        <v>65792799.755315199</v>
      </c>
      <c r="F88" s="733">
        <v>32275096.010000002</v>
      </c>
      <c r="G88" s="733">
        <v>91979661.519999996</v>
      </c>
      <c r="H88" s="733">
        <f>E88/12*6</f>
        <v>32896399.8776576</v>
      </c>
      <c r="I88" s="408">
        <f t="shared" si="2"/>
        <v>59083261.642342396</v>
      </c>
      <c r="J88" s="408">
        <f t="shared" si="3"/>
        <v>1.7960403528068203</v>
      </c>
      <c r="K88" s="735">
        <f>E88</f>
        <v>65792799.755315199</v>
      </c>
      <c r="L88" s="100"/>
    </row>
    <row r="89" spans="1:12" x14ac:dyDescent="0.25">
      <c r="A89" s="695" t="s">
        <v>1184</v>
      </c>
      <c r="B89" s="417"/>
      <c r="C89" s="733"/>
      <c r="D89" s="733"/>
      <c r="E89" s="733"/>
      <c r="F89" s="733"/>
      <c r="G89" s="733"/>
      <c r="H89" s="733"/>
      <c r="I89" s="408">
        <f t="shared" si="2"/>
        <v>0</v>
      </c>
      <c r="J89" s="408" t="str">
        <f t="shared" si="3"/>
        <v/>
      </c>
      <c r="K89" s="735"/>
      <c r="L89" s="100"/>
    </row>
    <row r="90" spans="1:12" x14ac:dyDescent="0.25">
      <c r="A90" s="695" t="s">
        <v>168</v>
      </c>
      <c r="B90" s="417"/>
      <c r="C90" s="733"/>
      <c r="D90" s="733"/>
      <c r="E90" s="733"/>
      <c r="F90" s="733">
        <v>6435217.6699999999</v>
      </c>
      <c r="G90" s="733">
        <v>29050973.190000001</v>
      </c>
      <c r="H90" s="733"/>
      <c r="I90" s="408">
        <f t="shared" si="2"/>
        <v>29050973.190000001</v>
      </c>
      <c r="J90" s="408" t="e">
        <f t="shared" si="3"/>
        <v>#DIV/0!</v>
      </c>
      <c r="K90" s="735"/>
      <c r="L90" s="100"/>
    </row>
    <row r="91" spans="1:12" x14ac:dyDescent="0.25">
      <c r="A91" s="695" t="s">
        <v>1185</v>
      </c>
      <c r="B91" s="417"/>
      <c r="C91" s="733"/>
      <c r="D91" s="733"/>
      <c r="E91" s="733"/>
      <c r="F91" s="733"/>
      <c r="G91" s="733"/>
      <c r="H91" s="733"/>
      <c r="I91" s="408">
        <f t="shared" si="2"/>
        <v>0</v>
      </c>
      <c r="J91" s="408" t="str">
        <f t="shared" si="3"/>
        <v/>
      </c>
      <c r="K91" s="735"/>
      <c r="L91" s="100"/>
    </row>
    <row r="92" spans="1:12" x14ac:dyDescent="0.25">
      <c r="A92" s="607" t="s">
        <v>116</v>
      </c>
      <c r="B92" s="417"/>
      <c r="C92" s="611">
        <f>SUM(C93:C98)</f>
        <v>0</v>
      </c>
      <c r="D92" s="611">
        <f t="shared" ref="D92:K92" si="25">SUM(D93:D98)</f>
        <v>108347.4601</v>
      </c>
      <c r="E92" s="611">
        <f t="shared" si="25"/>
        <v>108347.4601</v>
      </c>
      <c r="F92" s="611">
        <f t="shared" si="25"/>
        <v>8500</v>
      </c>
      <c r="G92" s="611">
        <f t="shared" si="25"/>
        <v>23750</v>
      </c>
      <c r="H92" s="611">
        <f t="shared" si="25"/>
        <v>54173.730049999998</v>
      </c>
      <c r="I92" s="611">
        <f t="shared" si="2"/>
        <v>-30423.730049999998</v>
      </c>
      <c r="J92" s="611">
        <f t="shared" si="3"/>
        <v>-0.56159562987300704</v>
      </c>
      <c r="K92" s="614">
        <f t="shared" si="25"/>
        <v>108347.4601</v>
      </c>
      <c r="L92" s="100"/>
    </row>
    <row r="93" spans="1:12" x14ac:dyDescent="0.25">
      <c r="A93" s="695" t="s">
        <v>1186</v>
      </c>
      <c r="B93" s="417"/>
      <c r="C93" s="733"/>
      <c r="D93" s="733"/>
      <c r="E93" s="733"/>
      <c r="F93" s="733"/>
      <c r="G93" s="733"/>
      <c r="H93" s="733"/>
      <c r="I93" s="408">
        <f t="shared" si="2"/>
        <v>0</v>
      </c>
      <c r="J93" s="408" t="str">
        <f t="shared" si="3"/>
        <v/>
      </c>
      <c r="K93" s="735"/>
      <c r="L93" s="100"/>
    </row>
    <row r="94" spans="1:12" x14ac:dyDescent="0.25">
      <c r="A94" s="695" t="s">
        <v>1187</v>
      </c>
      <c r="B94" s="417"/>
      <c r="C94" s="733"/>
      <c r="D94" s="733"/>
      <c r="E94" s="733"/>
      <c r="F94" s="733"/>
      <c r="G94" s="733"/>
      <c r="H94" s="733"/>
      <c r="I94" s="408">
        <f t="shared" si="2"/>
        <v>0</v>
      </c>
      <c r="J94" s="408" t="str">
        <f t="shared" si="3"/>
        <v/>
      </c>
      <c r="K94" s="735"/>
      <c r="L94" s="100"/>
    </row>
    <row r="95" spans="1:12" x14ac:dyDescent="0.25">
      <c r="A95" s="695" t="s">
        <v>1188</v>
      </c>
      <c r="B95" s="417"/>
      <c r="C95" s="733"/>
      <c r="D95" s="733"/>
      <c r="E95" s="733"/>
      <c r="F95" s="733"/>
      <c r="G95" s="733"/>
      <c r="H95" s="733"/>
      <c r="I95" s="408">
        <f>G95-H95</f>
        <v>0</v>
      </c>
      <c r="J95" s="408" t="str">
        <f>IF(I95=0,"",I95/H95)</f>
        <v/>
      </c>
      <c r="K95" s="735"/>
      <c r="L95" s="100"/>
    </row>
    <row r="96" spans="1:12" x14ac:dyDescent="0.25">
      <c r="A96" s="695" t="s">
        <v>1189</v>
      </c>
      <c r="B96" s="417"/>
      <c r="C96" s="733"/>
      <c r="D96" s="733"/>
      <c r="E96" s="733"/>
      <c r="F96" s="733"/>
      <c r="G96" s="733"/>
      <c r="H96" s="733"/>
      <c r="I96" s="408">
        <f>G96-H96</f>
        <v>0</v>
      </c>
      <c r="J96" s="408" t="str">
        <f>IF(I96=0,"",I96/H96)</f>
        <v/>
      </c>
      <c r="K96" s="735"/>
      <c r="L96" s="100"/>
    </row>
    <row r="97" spans="1:12" x14ac:dyDescent="0.25">
      <c r="A97" s="695" t="s">
        <v>169</v>
      </c>
      <c r="B97" s="417"/>
      <c r="C97" s="733"/>
      <c r="D97" s="733">
        <v>108347.4601</v>
      </c>
      <c r="E97" s="733">
        <v>108347.4601</v>
      </c>
      <c r="F97" s="733">
        <v>8500</v>
      </c>
      <c r="G97" s="733">
        <v>23750</v>
      </c>
      <c r="H97" s="733">
        <f>E97/12*6</f>
        <v>54173.730049999998</v>
      </c>
      <c r="I97" s="408">
        <f t="shared" si="2"/>
        <v>-30423.730049999998</v>
      </c>
      <c r="J97" s="408">
        <f t="shared" si="3"/>
        <v>-0.56159562987300704</v>
      </c>
      <c r="K97" s="735">
        <f>E97</f>
        <v>108347.4601</v>
      </c>
      <c r="L97" s="100"/>
    </row>
    <row r="98" spans="1:12" x14ac:dyDescent="0.25">
      <c r="A98" s="695" t="s">
        <v>1190</v>
      </c>
      <c r="B98" s="417"/>
      <c r="C98" s="733"/>
      <c r="D98" s="733"/>
      <c r="E98" s="733"/>
      <c r="F98" s="733"/>
      <c r="G98" s="733"/>
      <c r="H98" s="733"/>
      <c r="I98" s="408">
        <f t="shared" si="2"/>
        <v>0</v>
      </c>
      <c r="J98" s="408" t="str">
        <f t="shared" si="3"/>
        <v/>
      </c>
      <c r="K98" s="735"/>
      <c r="L98" s="100"/>
    </row>
    <row r="99" spans="1:12" x14ac:dyDescent="0.25">
      <c r="A99" s="414" t="s">
        <v>117</v>
      </c>
      <c r="B99" s="417"/>
      <c r="C99" s="605">
        <f>C100+C104+C108+C113</f>
        <v>0</v>
      </c>
      <c r="D99" s="605">
        <f t="shared" ref="D99:I99" si="26">D100+D104+D108+D113</f>
        <v>4331953791.0175152</v>
      </c>
      <c r="E99" s="605">
        <f t="shared" si="26"/>
        <v>4331577947.017518</v>
      </c>
      <c r="F99" s="605">
        <f t="shared" si="26"/>
        <v>419485147.40999997</v>
      </c>
      <c r="G99" s="605">
        <f t="shared" si="26"/>
        <v>2117191635.3</v>
      </c>
      <c r="H99" s="605">
        <f t="shared" si="26"/>
        <v>2165788973.508759</v>
      </c>
      <c r="I99" s="605">
        <f t="shared" si="26"/>
        <v>-48597338.208759144</v>
      </c>
      <c r="J99" s="605">
        <f t="shared" si="3"/>
        <v>-2.2438630357429237E-2</v>
      </c>
      <c r="K99" s="606">
        <f>K100+K104+K108+K113</f>
        <v>4331577947.017518</v>
      </c>
      <c r="L99" s="100"/>
    </row>
    <row r="100" spans="1:12" x14ac:dyDescent="0.25">
      <c r="A100" s="607" t="s">
        <v>1191</v>
      </c>
      <c r="B100" s="417"/>
      <c r="C100" s="611">
        <f>SUM(C101:C103)</f>
        <v>0</v>
      </c>
      <c r="D100" s="611">
        <f t="shared" ref="D100:K100" si="27">SUM(D101:D103)</f>
        <v>2655002808.9206858</v>
      </c>
      <c r="E100" s="611">
        <f t="shared" si="27"/>
        <v>2655002808.9206858</v>
      </c>
      <c r="F100" s="611">
        <f t="shared" si="27"/>
        <v>194450724.5</v>
      </c>
      <c r="G100" s="611">
        <f t="shared" si="27"/>
        <v>1218546930.72</v>
      </c>
      <c r="H100" s="611">
        <f t="shared" si="27"/>
        <v>1327501404.4603429</v>
      </c>
      <c r="I100" s="611">
        <f t="shared" si="2"/>
        <v>-108954473.74034286</v>
      </c>
      <c r="J100" s="611">
        <f t="shared" si="3"/>
        <v>-8.2074846304690072E-2</v>
      </c>
      <c r="K100" s="614">
        <f t="shared" si="27"/>
        <v>2655002808.9206858</v>
      </c>
      <c r="L100" s="100"/>
    </row>
    <row r="101" spans="1:12" x14ac:dyDescent="0.25">
      <c r="A101" s="695" t="s">
        <v>1192</v>
      </c>
      <c r="B101" s="417"/>
      <c r="C101" s="733"/>
      <c r="D101" s="733">
        <v>2635365105.6563859</v>
      </c>
      <c r="E101" s="733">
        <v>2635365105.6563859</v>
      </c>
      <c r="F101" s="733">
        <v>194450724.5</v>
      </c>
      <c r="G101" s="733">
        <v>1218546930.72</v>
      </c>
      <c r="H101" s="733">
        <f t="shared" ref="H101:H102" si="28">E101/12*6</f>
        <v>1317682552.8281929</v>
      </c>
      <c r="I101" s="408">
        <f t="shared" si="2"/>
        <v>-99135622.108192921</v>
      </c>
      <c r="J101" s="408">
        <f t="shared" si="3"/>
        <v>-7.5234829432486841E-2</v>
      </c>
      <c r="K101" s="735">
        <f>E101</f>
        <v>2635365105.6563859</v>
      </c>
      <c r="L101" s="100"/>
    </row>
    <row r="102" spans="1:12" x14ac:dyDescent="0.25">
      <c r="A102" s="695" t="s">
        <v>1193</v>
      </c>
      <c r="B102" s="417"/>
      <c r="C102" s="733"/>
      <c r="D102" s="733">
        <v>19637703.2643</v>
      </c>
      <c r="E102" s="733">
        <v>19637703.2643</v>
      </c>
      <c r="F102" s="733"/>
      <c r="G102" s="733"/>
      <c r="H102" s="733">
        <f t="shared" si="28"/>
        <v>9818851.63215</v>
      </c>
      <c r="I102" s="408">
        <f>G102-H102</f>
        <v>-9818851.63215</v>
      </c>
      <c r="J102" s="408">
        <f>IF(I102=0,"",I102/H102)</f>
        <v>-1</v>
      </c>
      <c r="K102" s="735">
        <f>E102</f>
        <v>19637703.2643</v>
      </c>
      <c r="L102" s="100"/>
    </row>
    <row r="103" spans="1:12" x14ac:dyDescent="0.25">
      <c r="A103" s="695" t="s">
        <v>1194</v>
      </c>
      <c r="B103" s="417"/>
      <c r="C103" s="733"/>
      <c r="D103" s="733">
        <v>0</v>
      </c>
      <c r="E103" s="733"/>
      <c r="F103" s="733"/>
      <c r="G103" s="733"/>
      <c r="H103" s="733"/>
      <c r="I103" s="408">
        <f t="shared" si="2"/>
        <v>0</v>
      </c>
      <c r="J103" s="408" t="str">
        <f t="shared" si="3"/>
        <v/>
      </c>
      <c r="K103" s="735"/>
      <c r="L103" s="100"/>
    </row>
    <row r="104" spans="1:12" x14ac:dyDescent="0.25">
      <c r="A104" s="607" t="s">
        <v>1195</v>
      </c>
      <c r="B104" s="417"/>
      <c r="C104" s="611">
        <f>SUM(C105:C107)</f>
        <v>0</v>
      </c>
      <c r="D104" s="611">
        <f t="shared" ref="D104:K104" si="29">SUM(D105:D107)</f>
        <v>1253549994.0011687</v>
      </c>
      <c r="E104" s="611">
        <f t="shared" si="29"/>
        <v>1253174150.0011718</v>
      </c>
      <c r="F104" s="611">
        <f t="shared" si="29"/>
        <v>170832185.56999999</v>
      </c>
      <c r="G104" s="611">
        <f t="shared" si="29"/>
        <v>658482733.01999998</v>
      </c>
      <c r="H104" s="611">
        <f t="shared" si="29"/>
        <v>626587075.00058591</v>
      </c>
      <c r="I104" s="611">
        <f t="shared" si="2"/>
        <v>31895658.019414067</v>
      </c>
      <c r="J104" s="611">
        <f t="shared" si="3"/>
        <v>5.0903791814384682E-2</v>
      </c>
      <c r="K104" s="614">
        <f t="shared" si="29"/>
        <v>1253174150.0011718</v>
      </c>
      <c r="L104" s="100"/>
    </row>
    <row r="105" spans="1:12" x14ac:dyDescent="0.25">
      <c r="A105" s="695" t="s">
        <v>1196</v>
      </c>
      <c r="B105" s="417"/>
      <c r="C105" s="733"/>
      <c r="D105" s="733"/>
      <c r="E105" s="733"/>
      <c r="F105" s="733"/>
      <c r="G105" s="733"/>
      <c r="H105" s="733"/>
      <c r="I105" s="408">
        <f t="shared" si="2"/>
        <v>0</v>
      </c>
      <c r="J105" s="408" t="str">
        <f t="shared" si="3"/>
        <v/>
      </c>
      <c r="K105" s="735"/>
      <c r="L105" s="100"/>
    </row>
    <row r="106" spans="1:12" x14ac:dyDescent="0.25">
      <c r="A106" s="695" t="s">
        <v>170</v>
      </c>
      <c r="B106" s="417"/>
      <c r="C106" s="733"/>
      <c r="D106" s="733">
        <v>1253549994.0011687</v>
      </c>
      <c r="E106" s="733">
        <v>1253174150.0011718</v>
      </c>
      <c r="F106" s="733">
        <v>170832185.56999999</v>
      </c>
      <c r="G106" s="733">
        <v>658482733.01999998</v>
      </c>
      <c r="H106" s="733">
        <f>E106/12*6</f>
        <v>626587075.00058591</v>
      </c>
      <c r="I106" s="408">
        <f>G106-H106</f>
        <v>31895658.019414067</v>
      </c>
      <c r="J106" s="408">
        <f>IF(I106=0,"",I106/H106)</f>
        <v>5.0903791814384682E-2</v>
      </c>
      <c r="K106" s="735">
        <f>E106</f>
        <v>1253174150.0011718</v>
      </c>
      <c r="L106" s="100"/>
    </row>
    <row r="107" spans="1:12" x14ac:dyDescent="0.25">
      <c r="A107" s="695" t="s">
        <v>171</v>
      </c>
      <c r="B107" s="417"/>
      <c r="C107" s="733"/>
      <c r="D107" s="733"/>
      <c r="E107" s="733"/>
      <c r="F107" s="733"/>
      <c r="G107" s="733"/>
      <c r="H107" s="733"/>
      <c r="I107" s="408">
        <f t="shared" si="2"/>
        <v>0</v>
      </c>
      <c r="J107" s="408" t="str">
        <f t="shared" si="3"/>
        <v/>
      </c>
      <c r="K107" s="735"/>
      <c r="L107" s="100"/>
    </row>
    <row r="108" spans="1:12" x14ac:dyDescent="0.25">
      <c r="A108" s="607" t="s">
        <v>118</v>
      </c>
      <c r="B108" s="417"/>
      <c r="C108" s="611">
        <f>SUM(C109:C112)</f>
        <v>0</v>
      </c>
      <c r="D108" s="611">
        <f t="shared" ref="D108:K108" si="30">SUM(D109:D112)</f>
        <v>173542219.90182328</v>
      </c>
      <c r="E108" s="611">
        <f t="shared" si="30"/>
        <v>173542219.90182328</v>
      </c>
      <c r="F108" s="611">
        <f t="shared" si="30"/>
        <v>34390683.759999998</v>
      </c>
      <c r="G108" s="611">
        <f t="shared" si="30"/>
        <v>153883463.31999999</v>
      </c>
      <c r="H108" s="611">
        <f t="shared" si="30"/>
        <v>86771109.950911641</v>
      </c>
      <c r="I108" s="611">
        <f t="shared" si="2"/>
        <v>67112353.369088352</v>
      </c>
      <c r="J108" s="611">
        <f t="shared" si="3"/>
        <v>0.77344122262646298</v>
      </c>
      <c r="K108" s="614">
        <f t="shared" si="30"/>
        <v>173542219.90182328</v>
      </c>
      <c r="L108" s="100"/>
    </row>
    <row r="109" spans="1:12" x14ac:dyDescent="0.25">
      <c r="A109" s="695" t="s">
        <v>174</v>
      </c>
      <c r="B109" s="417"/>
      <c r="C109" s="733"/>
      <c r="D109" s="733"/>
      <c r="E109" s="733"/>
      <c r="F109" s="733"/>
      <c r="G109" s="733"/>
      <c r="H109" s="733"/>
      <c r="I109" s="408">
        <f t="shared" si="2"/>
        <v>0</v>
      </c>
      <c r="J109" s="408" t="str">
        <f t="shared" si="3"/>
        <v/>
      </c>
      <c r="K109" s="735"/>
      <c r="L109" s="100"/>
    </row>
    <row r="110" spans="1:12" x14ac:dyDescent="0.25">
      <c r="A110" s="695" t="s">
        <v>172</v>
      </c>
      <c r="B110" s="417"/>
      <c r="C110" s="733"/>
      <c r="D110" s="733">
        <v>173542219.90182328</v>
      </c>
      <c r="E110" s="733">
        <v>173542219.90182328</v>
      </c>
      <c r="F110" s="733">
        <v>34390683.759999998</v>
      </c>
      <c r="G110" s="733">
        <v>153883463.31999999</v>
      </c>
      <c r="H110" s="733">
        <f>E110/12*6</f>
        <v>86771109.950911641</v>
      </c>
      <c r="I110" s="408">
        <f t="shared" si="2"/>
        <v>67112353.369088352</v>
      </c>
      <c r="J110" s="408">
        <f t="shared" si="3"/>
        <v>0.77344122262646298</v>
      </c>
      <c r="K110" s="735">
        <f>E110</f>
        <v>173542219.90182328</v>
      </c>
      <c r="L110" s="100"/>
    </row>
    <row r="111" spans="1:12" x14ac:dyDescent="0.25">
      <c r="A111" s="695" t="s">
        <v>173</v>
      </c>
      <c r="B111" s="417"/>
      <c r="C111" s="733"/>
      <c r="D111" s="733"/>
      <c r="E111" s="733"/>
      <c r="F111" s="733"/>
      <c r="G111" s="733"/>
      <c r="H111" s="733"/>
      <c r="I111" s="408">
        <f>G111-H111</f>
        <v>0</v>
      </c>
      <c r="J111" s="408" t="str">
        <f>IF(I111=0,"",I111/H111)</f>
        <v/>
      </c>
      <c r="K111" s="735"/>
      <c r="L111" s="100"/>
    </row>
    <row r="112" spans="1:12" x14ac:dyDescent="0.25">
      <c r="A112" s="695" t="s">
        <v>1197</v>
      </c>
      <c r="B112" s="417"/>
      <c r="C112" s="733"/>
      <c r="D112" s="733"/>
      <c r="E112" s="733"/>
      <c r="F112" s="733"/>
      <c r="G112" s="733"/>
      <c r="H112" s="733"/>
      <c r="I112" s="408">
        <f t="shared" si="2"/>
        <v>0</v>
      </c>
      <c r="J112" s="408" t="str">
        <f t="shared" si="3"/>
        <v/>
      </c>
      <c r="K112" s="735"/>
      <c r="L112" s="100"/>
    </row>
    <row r="113" spans="1:12" x14ac:dyDescent="0.25">
      <c r="A113" s="607" t="s">
        <v>119</v>
      </c>
      <c r="B113" s="417"/>
      <c r="C113" s="611">
        <f t="shared" ref="C113:H113" si="31">SUM(C114:C117)</f>
        <v>0</v>
      </c>
      <c r="D113" s="611">
        <f t="shared" si="31"/>
        <v>249858768.1938374</v>
      </c>
      <c r="E113" s="611">
        <f t="shared" si="31"/>
        <v>249858768.1938374</v>
      </c>
      <c r="F113" s="611">
        <f t="shared" si="31"/>
        <v>19811553.579999998</v>
      </c>
      <c r="G113" s="611">
        <f t="shared" si="31"/>
        <v>86278508.239999995</v>
      </c>
      <c r="H113" s="611">
        <f t="shared" si="31"/>
        <v>124929384.0969187</v>
      </c>
      <c r="I113" s="611">
        <f t="shared" si="2"/>
        <v>-38650875.856918707</v>
      </c>
      <c r="J113" s="611">
        <f t="shared" si="3"/>
        <v>-0.30938178504853453</v>
      </c>
      <c r="K113" s="611">
        <f>SUM(K114:K117)</f>
        <v>249858768.1938374</v>
      </c>
      <c r="L113" s="100"/>
    </row>
    <row r="114" spans="1:12" x14ac:dyDescent="0.25">
      <c r="A114" s="695" t="s">
        <v>1198</v>
      </c>
      <c r="B114" s="417"/>
      <c r="C114" s="733"/>
      <c r="D114" s="733"/>
      <c r="E114" s="733"/>
      <c r="F114" s="733"/>
      <c r="G114" s="733"/>
      <c r="H114" s="733"/>
      <c r="I114" s="408">
        <f>G114-H114</f>
        <v>0</v>
      </c>
      <c r="J114" s="408" t="str">
        <f>IF(I114=0,"",I114/H114)</f>
        <v/>
      </c>
      <c r="K114" s="735"/>
      <c r="L114" s="100"/>
    </row>
    <row r="115" spans="1:12" x14ac:dyDescent="0.25">
      <c r="A115" s="695" t="s">
        <v>1199</v>
      </c>
      <c r="B115" s="417"/>
      <c r="C115" s="733"/>
      <c r="D115" s="733">
        <v>249858768.1938374</v>
      </c>
      <c r="E115" s="733">
        <v>249858768.1938374</v>
      </c>
      <c r="F115" s="733">
        <v>10250408.93</v>
      </c>
      <c r="G115" s="733">
        <v>28190393.84</v>
      </c>
      <c r="H115" s="733">
        <f>E115/12*6</f>
        <v>124929384.0969187</v>
      </c>
      <c r="I115" s="408">
        <f>G115-H115</f>
        <v>-96738990.256918699</v>
      </c>
      <c r="J115" s="408">
        <f>IF(I115=0,"",I115/H115)</f>
        <v>-0.77434937309760343</v>
      </c>
      <c r="K115" s="735">
        <f>E115</f>
        <v>249858768.1938374</v>
      </c>
      <c r="L115" s="100"/>
    </row>
    <row r="116" spans="1:12" x14ac:dyDescent="0.25">
      <c r="A116" s="695" t="s">
        <v>1200</v>
      </c>
      <c r="B116" s="417"/>
      <c r="C116" s="733"/>
      <c r="D116" s="733"/>
      <c r="E116" s="733"/>
      <c r="F116" s="733">
        <v>9561144.6500000004</v>
      </c>
      <c r="G116" s="733">
        <v>58088114.399999999</v>
      </c>
      <c r="H116" s="733"/>
      <c r="I116" s="408">
        <f t="shared" si="2"/>
        <v>58088114.399999999</v>
      </c>
      <c r="J116" s="408" t="e">
        <f t="shared" si="3"/>
        <v>#DIV/0!</v>
      </c>
      <c r="K116" s="735"/>
      <c r="L116" s="100"/>
    </row>
    <row r="117" spans="1:12" x14ac:dyDescent="0.25">
      <c r="A117" s="695" t="s">
        <v>1201</v>
      </c>
      <c r="B117" s="417"/>
      <c r="C117" s="733"/>
      <c r="D117" s="733"/>
      <c r="E117" s="733"/>
      <c r="F117" s="733"/>
      <c r="G117" s="733"/>
      <c r="H117" s="733"/>
      <c r="I117" s="408">
        <f>G117-H117</f>
        <v>0</v>
      </c>
      <c r="J117" s="408" t="str">
        <f>IF(I117=0,"",I117/H117)</f>
        <v/>
      </c>
      <c r="K117" s="735"/>
      <c r="L117" s="100"/>
    </row>
    <row r="118" spans="1:12" x14ac:dyDescent="0.25">
      <c r="A118" s="414" t="s">
        <v>718</v>
      </c>
      <c r="B118" s="417"/>
      <c r="C118" s="611">
        <f>SUM(C119:C124)</f>
        <v>0</v>
      </c>
      <c r="D118" s="611">
        <f t="shared" ref="D118:K118" si="32">SUM(D119:D124)</f>
        <v>63610900.686000004</v>
      </c>
      <c r="E118" s="611">
        <f t="shared" si="32"/>
        <v>63610900.686000004</v>
      </c>
      <c r="F118" s="611">
        <f t="shared" si="32"/>
        <v>1935477.16</v>
      </c>
      <c r="G118" s="611">
        <f t="shared" si="32"/>
        <v>13953078.939999999</v>
      </c>
      <c r="H118" s="611">
        <f t="shared" si="32"/>
        <v>31805450.343000002</v>
      </c>
      <c r="I118" s="611">
        <f t="shared" si="2"/>
        <v>-17852371.403000005</v>
      </c>
      <c r="J118" s="611">
        <f t="shared" si="3"/>
        <v>-0.56129912359279321</v>
      </c>
      <c r="K118" s="614">
        <f t="shared" si="32"/>
        <v>63610900.686000004</v>
      </c>
      <c r="L118" s="100"/>
    </row>
    <row r="119" spans="1:12" x14ac:dyDescent="0.25">
      <c r="A119" s="607" t="s">
        <v>440</v>
      </c>
      <c r="B119" s="417"/>
      <c r="C119" s="733"/>
      <c r="D119" s="733"/>
      <c r="E119" s="733"/>
      <c r="F119" s="733"/>
      <c r="G119" s="733"/>
      <c r="H119" s="733"/>
      <c r="I119" s="408">
        <f t="shared" si="2"/>
        <v>0</v>
      </c>
      <c r="J119" s="408" t="str">
        <f t="shared" si="3"/>
        <v/>
      </c>
      <c r="K119" s="735"/>
      <c r="L119" s="100"/>
    </row>
    <row r="120" spans="1:12" x14ac:dyDescent="0.25">
      <c r="A120" s="607" t="s">
        <v>175</v>
      </c>
      <c r="B120" s="417"/>
      <c r="C120" s="733"/>
      <c r="D120" s="733">
        <v>12490719.594900001</v>
      </c>
      <c r="E120" s="733">
        <v>12490719.594900001</v>
      </c>
      <c r="F120" s="733">
        <v>51495.23</v>
      </c>
      <c r="G120" s="733">
        <v>2535536.69</v>
      </c>
      <c r="H120" s="733">
        <f t="shared" ref="H120:H121" si="33">E120/12*6</f>
        <v>6245359.7974500004</v>
      </c>
      <c r="I120" s="408">
        <f t="shared" si="2"/>
        <v>-3709823.1074500005</v>
      </c>
      <c r="J120" s="408">
        <f t="shared" si="3"/>
        <v>-0.59401271147976653</v>
      </c>
      <c r="K120" s="735">
        <f t="shared" ref="K120:K121" si="34">E120</f>
        <v>12490719.594900001</v>
      </c>
      <c r="L120" s="100"/>
    </row>
    <row r="121" spans="1:12" x14ac:dyDescent="0.25">
      <c r="A121" s="607" t="s">
        <v>1202</v>
      </c>
      <c r="B121" s="417"/>
      <c r="C121" s="733"/>
      <c r="D121" s="733">
        <v>7663197.0931999991</v>
      </c>
      <c r="E121" s="733">
        <v>7663197.0931999991</v>
      </c>
      <c r="F121" s="733"/>
      <c r="G121" s="733">
        <v>700000</v>
      </c>
      <c r="H121" s="733">
        <f t="shared" si="33"/>
        <v>3831598.5465999995</v>
      </c>
      <c r="I121" s="408">
        <f>G121-H121</f>
        <v>-3131598.5465999995</v>
      </c>
      <c r="J121" s="408">
        <f>IF(I121=0,"",I121/H121)</f>
        <v>-0.81730862680769345</v>
      </c>
      <c r="K121" s="735">
        <f t="shared" si="34"/>
        <v>7663197.0931999991</v>
      </c>
      <c r="L121" s="100"/>
    </row>
    <row r="122" spans="1:12" x14ac:dyDescent="0.25">
      <c r="A122" s="607" t="s">
        <v>1203</v>
      </c>
      <c r="B122" s="417"/>
      <c r="C122" s="733"/>
      <c r="D122" s="733"/>
      <c r="E122" s="733"/>
      <c r="F122" s="733">
        <v>15629.16</v>
      </c>
      <c r="G122" s="733">
        <v>91511</v>
      </c>
      <c r="H122" s="733"/>
      <c r="I122" s="408">
        <f t="shared" si="2"/>
        <v>91511</v>
      </c>
      <c r="J122" s="408" t="e">
        <f t="shared" si="3"/>
        <v>#DIV/0!</v>
      </c>
      <c r="K122" s="735"/>
      <c r="L122" s="100"/>
    </row>
    <row r="123" spans="1:12" x14ac:dyDescent="0.25">
      <c r="A123" s="607" t="s">
        <v>441</v>
      </c>
      <c r="B123" s="415"/>
      <c r="C123" s="733"/>
      <c r="D123" s="733">
        <v>43456983.997900009</v>
      </c>
      <c r="E123" s="733">
        <v>43456983.997900009</v>
      </c>
      <c r="F123" s="733">
        <v>1868352.77</v>
      </c>
      <c r="G123" s="733">
        <v>10626031.25</v>
      </c>
      <c r="H123" s="733">
        <f>E123/12*6</f>
        <v>21728491.998950005</v>
      </c>
      <c r="I123" s="408">
        <f t="shared" si="2"/>
        <v>-11102460.748950005</v>
      </c>
      <c r="J123" s="408">
        <f t="shared" si="3"/>
        <v>-0.51096324353694278</v>
      </c>
      <c r="K123" s="735">
        <f>E123</f>
        <v>43456983.997900009</v>
      </c>
      <c r="L123" s="100"/>
    </row>
    <row r="124" spans="1:12" x14ac:dyDescent="0.25">
      <c r="A124" s="607" t="s">
        <v>176</v>
      </c>
      <c r="B124" s="415"/>
      <c r="C124" s="733"/>
      <c r="D124" s="733"/>
      <c r="E124" s="733"/>
      <c r="F124" s="733"/>
      <c r="G124" s="733"/>
      <c r="H124" s="733"/>
      <c r="I124" s="408">
        <f>G124-H124</f>
        <v>0</v>
      </c>
      <c r="J124" s="408" t="str">
        <f>IF(I124=0,"",I124/H124)</f>
        <v/>
      </c>
      <c r="K124" s="735"/>
      <c r="L124" s="100"/>
    </row>
    <row r="125" spans="1:12" x14ac:dyDescent="0.25">
      <c r="A125" s="615" t="str">
        <f>"Total "&amp;A5</f>
        <v>Total Revenue - Functional</v>
      </c>
      <c r="B125" s="415">
        <v>2</v>
      </c>
      <c r="C125" s="616">
        <f t="shared" ref="C125:H125" si="35">C6+C26+C75+C99+C118</f>
        <v>0</v>
      </c>
      <c r="D125" s="616">
        <f t="shared" si="35"/>
        <v>6444077682.8720617</v>
      </c>
      <c r="E125" s="616">
        <f t="shared" si="35"/>
        <v>6532699838.8720646</v>
      </c>
      <c r="F125" s="616">
        <f t="shared" si="35"/>
        <v>733498751.58999991</v>
      </c>
      <c r="G125" s="616">
        <f t="shared" si="35"/>
        <v>3307890687.9900002</v>
      </c>
      <c r="H125" s="616">
        <f t="shared" si="35"/>
        <v>3266349919.4360328</v>
      </c>
      <c r="I125" s="616">
        <f>G125-H125</f>
        <v>41540768.553967476</v>
      </c>
      <c r="J125" s="616">
        <f>IF(I125=0,"",I125/H125)</f>
        <v>1.2717794963357721E-2</v>
      </c>
      <c r="K125" s="617">
        <f>K6+K26+K75+K99+K118</f>
        <v>6532699838.8720646</v>
      </c>
      <c r="L125" s="100"/>
    </row>
    <row r="126" spans="1:12" x14ac:dyDescent="0.25">
      <c r="A126" s="618"/>
      <c r="B126" s="415"/>
      <c r="C126" s="44"/>
      <c r="D126" s="44"/>
      <c r="E126" s="44"/>
      <c r="F126" s="44"/>
      <c r="G126" s="44"/>
      <c r="H126" s="44"/>
      <c r="I126" s="47"/>
      <c r="J126" s="47"/>
      <c r="K126" s="144"/>
      <c r="L126" s="100"/>
    </row>
    <row r="127" spans="1:12" x14ac:dyDescent="0.25">
      <c r="A127" s="619" t="s">
        <v>1204</v>
      </c>
      <c r="B127" s="620"/>
      <c r="C127" s="44"/>
      <c r="D127" s="44"/>
      <c r="E127" s="44"/>
      <c r="F127" s="44"/>
      <c r="G127" s="44"/>
      <c r="H127" s="44"/>
      <c r="I127" s="47"/>
      <c r="J127" s="47"/>
      <c r="K127" s="144"/>
      <c r="L127" s="100"/>
    </row>
    <row r="128" spans="1:12" x14ac:dyDescent="0.25">
      <c r="A128" s="414" t="str">
        <f t="shared" ref="A128:A159" si="36">A6</f>
        <v>Municipal governance and administration</v>
      </c>
      <c r="B128" s="620"/>
      <c r="C128" s="605">
        <f t="shared" ref="C128:H128" si="37">C129+C132+C146</f>
        <v>0</v>
      </c>
      <c r="D128" s="605">
        <f t="shared" si="37"/>
        <v>1354264744.2416518</v>
      </c>
      <c r="E128" s="605">
        <f t="shared" si="37"/>
        <v>1360778764.0330372</v>
      </c>
      <c r="F128" s="605">
        <f t="shared" si="37"/>
        <v>81319240.219999984</v>
      </c>
      <c r="G128" s="605">
        <f t="shared" si="37"/>
        <v>440659937.77999991</v>
      </c>
      <c r="H128" s="605">
        <f t="shared" si="37"/>
        <v>680389382.01651859</v>
      </c>
      <c r="I128" s="605">
        <f t="shared" ref="I128:I244" si="38">G128-H128</f>
        <v>-239729444.23651868</v>
      </c>
      <c r="J128" s="605">
        <f t="shared" ref="J128:J244" si="39">IF(I128=0,"",I128/H128)</f>
        <v>-0.3523415423180406</v>
      </c>
      <c r="K128" s="606">
        <f>K129+K132+K146</f>
        <v>1360778764.0330372</v>
      </c>
      <c r="L128" s="100"/>
    </row>
    <row r="129" spans="1:12" x14ac:dyDescent="0.25">
      <c r="A129" s="607" t="str">
        <f t="shared" si="36"/>
        <v>Executive and council</v>
      </c>
      <c r="B129" s="620"/>
      <c r="C129" s="608">
        <f t="shared" ref="C129:K129" si="40">SUM(C130:C131)</f>
        <v>0</v>
      </c>
      <c r="D129" s="608">
        <f t="shared" si="40"/>
        <v>137732466.40184778</v>
      </c>
      <c r="E129" s="608">
        <f t="shared" si="40"/>
        <v>143611790.7278536</v>
      </c>
      <c r="F129" s="608">
        <f t="shared" si="40"/>
        <v>8749282.540000001</v>
      </c>
      <c r="G129" s="608">
        <f t="shared" si="40"/>
        <v>52100593.899999991</v>
      </c>
      <c r="H129" s="608">
        <f t="shared" si="40"/>
        <v>71805895.363926798</v>
      </c>
      <c r="I129" s="608">
        <f t="shared" si="38"/>
        <v>-19705301.463926807</v>
      </c>
      <c r="J129" s="608">
        <f t="shared" si="39"/>
        <v>-0.27442456310942653</v>
      </c>
      <c r="K129" s="610">
        <f t="shared" si="40"/>
        <v>143611790.7278536</v>
      </c>
      <c r="L129" s="100"/>
    </row>
    <row r="130" spans="1:12" x14ac:dyDescent="0.25">
      <c r="A130" s="695" t="str">
        <f t="shared" si="36"/>
        <v>Mayor and Council</v>
      </c>
      <c r="B130" s="620"/>
      <c r="C130" s="733"/>
      <c r="D130" s="733">
        <v>86039675.165266603</v>
      </c>
      <c r="E130" s="733">
        <v>86039675.165266603</v>
      </c>
      <c r="F130" s="733">
        <v>5560456.0799999991</v>
      </c>
      <c r="G130" s="733">
        <v>38384000.259999998</v>
      </c>
      <c r="H130" s="733">
        <f t="shared" ref="H130:H131" si="41">E130/12*6</f>
        <v>43019837.582633302</v>
      </c>
      <c r="I130" s="408">
        <f t="shared" si="38"/>
        <v>-4635837.3226333037</v>
      </c>
      <c r="J130" s="408">
        <f t="shared" si="39"/>
        <v>-0.10776045617858741</v>
      </c>
      <c r="K130" s="735">
        <f t="shared" ref="K130:K143" si="42">E130</f>
        <v>86039675.165266603</v>
      </c>
      <c r="L130" s="100"/>
    </row>
    <row r="131" spans="1:12" ht="18.600000000000001" customHeight="1" x14ac:dyDescent="0.25">
      <c r="A131" s="695" t="str">
        <f t="shared" si="36"/>
        <v>Municipal Manager, Town Secretary and Chief Executive</v>
      </c>
      <c r="B131" s="620"/>
      <c r="C131" s="733"/>
      <c r="D131" s="733">
        <v>51692791.236581177</v>
      </c>
      <c r="E131" s="733">
        <v>57572115.562586986</v>
      </c>
      <c r="F131" s="733">
        <v>3188826.4600000014</v>
      </c>
      <c r="G131" s="733">
        <v>13716593.639999995</v>
      </c>
      <c r="H131" s="733">
        <f t="shared" si="41"/>
        <v>28786057.781293489</v>
      </c>
      <c r="I131" s="408">
        <f t="shared" si="38"/>
        <v>-15069464.141293494</v>
      </c>
      <c r="J131" s="408">
        <f t="shared" si="39"/>
        <v>-0.52349871093103717</v>
      </c>
      <c r="K131" s="735">
        <f t="shared" si="42"/>
        <v>57572115.562586986</v>
      </c>
      <c r="L131" s="100"/>
    </row>
    <row r="132" spans="1:12" x14ac:dyDescent="0.25">
      <c r="A132" s="607" t="str">
        <f t="shared" si="36"/>
        <v>Finance and administration</v>
      </c>
      <c r="B132" s="620"/>
      <c r="C132" s="608">
        <f t="shared" ref="C132:H132" si="43">SUM(C133:C145)</f>
        <v>0</v>
      </c>
      <c r="D132" s="608">
        <f t="shared" si="43"/>
        <v>1194545745.0547059</v>
      </c>
      <c r="E132" s="608">
        <f t="shared" si="43"/>
        <v>1195180440.5200856</v>
      </c>
      <c r="F132" s="608">
        <f t="shared" si="43"/>
        <v>70347883.689999983</v>
      </c>
      <c r="G132" s="608">
        <f t="shared" si="43"/>
        <v>381005163.30999994</v>
      </c>
      <c r="H132" s="608">
        <f t="shared" si="43"/>
        <v>597590220.26004279</v>
      </c>
      <c r="I132" s="608">
        <f t="shared" si="38"/>
        <v>-216585056.95004284</v>
      </c>
      <c r="J132" s="608">
        <f t="shared" si="39"/>
        <v>-0.36243072528160741</v>
      </c>
      <c r="K132" s="608">
        <f>SUM(K133:K145)</f>
        <v>1195180440.5200856</v>
      </c>
      <c r="L132" s="100"/>
    </row>
    <row r="133" spans="1:12" x14ac:dyDescent="0.25">
      <c r="A133" s="695" t="str">
        <f t="shared" si="36"/>
        <v>Administrative and Corporate Support</v>
      </c>
      <c r="B133" s="415"/>
      <c r="C133" s="733"/>
      <c r="D133" s="733">
        <v>63311187.597137183</v>
      </c>
      <c r="E133" s="733">
        <v>63311187.597137183</v>
      </c>
      <c r="F133" s="733">
        <v>4339161.9299999978</v>
      </c>
      <c r="G133" s="733">
        <v>26079313.740000006</v>
      </c>
      <c r="H133" s="733">
        <f t="shared" ref="H133:H144" si="44">E133/12*6</f>
        <v>31655593.798568591</v>
      </c>
      <c r="I133" s="408">
        <f t="shared" si="38"/>
        <v>-5576280.0585685857</v>
      </c>
      <c r="J133" s="408">
        <f t="shared" si="39"/>
        <v>-0.17615465039296577</v>
      </c>
      <c r="K133" s="735">
        <f t="shared" si="42"/>
        <v>63311187.597137183</v>
      </c>
      <c r="L133" s="100"/>
    </row>
    <row r="134" spans="1:12" x14ac:dyDescent="0.25">
      <c r="A134" s="695" t="str">
        <f t="shared" si="36"/>
        <v>Asset Management</v>
      </c>
      <c r="B134" s="415"/>
      <c r="C134" s="733"/>
      <c r="D134" s="733">
        <v>114851325.40861207</v>
      </c>
      <c r="E134" s="733">
        <v>114851325.40861207</v>
      </c>
      <c r="F134" s="733">
        <v>5176308.5500000007</v>
      </c>
      <c r="G134" s="733">
        <v>30203606.810000002</v>
      </c>
      <c r="H134" s="733">
        <f t="shared" si="44"/>
        <v>57425662.704306036</v>
      </c>
      <c r="I134" s="408">
        <f t="shared" si="38"/>
        <v>-27222055.894306034</v>
      </c>
      <c r="J134" s="408">
        <f t="shared" si="39"/>
        <v>-0.47403990850705152</v>
      </c>
      <c r="K134" s="735">
        <f t="shared" si="42"/>
        <v>114851325.40861207</v>
      </c>
      <c r="L134" s="100"/>
    </row>
    <row r="135" spans="1:12" x14ac:dyDescent="0.25">
      <c r="A135" s="695" t="str">
        <f t="shared" si="36"/>
        <v>Finance</v>
      </c>
      <c r="B135" s="415"/>
      <c r="C135" s="733"/>
      <c r="D135" s="733">
        <v>527291938.10809231</v>
      </c>
      <c r="E135" s="733">
        <v>538222483.81119955</v>
      </c>
      <c r="F135" s="733">
        <v>16420298.859999981</v>
      </c>
      <c r="G135" s="733">
        <v>110288116.04000001</v>
      </c>
      <c r="H135" s="733">
        <f t="shared" si="44"/>
        <v>269111241.90559977</v>
      </c>
      <c r="I135" s="408">
        <f t="shared" si="38"/>
        <v>-158823125.86559975</v>
      </c>
      <c r="J135" s="408">
        <f t="shared" si="39"/>
        <v>-0.59017648144670432</v>
      </c>
      <c r="K135" s="735">
        <f t="shared" si="42"/>
        <v>538222483.81119955</v>
      </c>
      <c r="L135" s="100"/>
    </row>
    <row r="136" spans="1:12" x14ac:dyDescent="0.25">
      <c r="A136" s="695" t="str">
        <f t="shared" si="36"/>
        <v>Fleet Management</v>
      </c>
      <c r="B136" s="415"/>
      <c r="C136" s="733"/>
      <c r="D136" s="733"/>
      <c r="E136" s="733">
        <v>0</v>
      </c>
      <c r="F136" s="733"/>
      <c r="G136" s="733"/>
      <c r="H136" s="733"/>
      <c r="I136" s="408">
        <f t="shared" si="38"/>
        <v>0</v>
      </c>
      <c r="J136" s="408" t="str">
        <f t="shared" si="39"/>
        <v/>
      </c>
      <c r="K136" s="735"/>
      <c r="L136" s="100"/>
    </row>
    <row r="137" spans="1:12" x14ac:dyDescent="0.25">
      <c r="A137" s="695" t="str">
        <f t="shared" si="36"/>
        <v>Human Resources</v>
      </c>
      <c r="B137" s="415"/>
      <c r="C137" s="733"/>
      <c r="D137" s="733">
        <v>167919296.40275738</v>
      </c>
      <c r="E137" s="733">
        <v>167919299.40260589</v>
      </c>
      <c r="F137" s="733">
        <v>6369811.9700000007</v>
      </c>
      <c r="G137" s="733">
        <v>32789068.859999999</v>
      </c>
      <c r="H137" s="733">
        <f t="shared" si="44"/>
        <v>83959649.701302946</v>
      </c>
      <c r="I137" s="408">
        <f t="shared" si="38"/>
        <v>-51170580.841302946</v>
      </c>
      <c r="J137" s="408">
        <f t="shared" si="39"/>
        <v>-0.60946634512350573</v>
      </c>
      <c r="K137" s="735">
        <f t="shared" si="42"/>
        <v>167919299.40260589</v>
      </c>
      <c r="L137" s="100"/>
    </row>
    <row r="138" spans="1:12" x14ac:dyDescent="0.25">
      <c r="A138" s="695" t="str">
        <f t="shared" si="36"/>
        <v>Information Technology</v>
      </c>
      <c r="B138" s="415"/>
      <c r="C138" s="733"/>
      <c r="D138" s="733">
        <v>36645394.820353068</v>
      </c>
      <c r="E138" s="733">
        <v>36645394.820353068</v>
      </c>
      <c r="F138" s="733">
        <v>4488067.33</v>
      </c>
      <c r="G138" s="733">
        <v>20018001.729999989</v>
      </c>
      <c r="H138" s="733">
        <f t="shared" si="44"/>
        <v>18322697.410176534</v>
      </c>
      <c r="I138" s="408">
        <f t="shared" si="38"/>
        <v>1695304.3198234551</v>
      </c>
      <c r="J138" s="408">
        <f t="shared" si="39"/>
        <v>9.252482218485325E-2</v>
      </c>
      <c r="K138" s="735">
        <f t="shared" si="42"/>
        <v>36645394.820353068</v>
      </c>
      <c r="L138" s="100"/>
    </row>
    <row r="139" spans="1:12" x14ac:dyDescent="0.25">
      <c r="A139" s="695" t="str">
        <f t="shared" si="36"/>
        <v>Legal Services</v>
      </c>
      <c r="B139" s="415"/>
      <c r="C139" s="733"/>
      <c r="D139" s="733">
        <v>11011185.169427564</v>
      </c>
      <c r="E139" s="733">
        <v>11011185.169427564</v>
      </c>
      <c r="F139" s="733">
        <v>1575648.8</v>
      </c>
      <c r="G139" s="733">
        <v>6195658.4800000004</v>
      </c>
      <c r="H139" s="733">
        <f t="shared" si="44"/>
        <v>5505592.5847137822</v>
      </c>
      <c r="I139" s="408">
        <f t="shared" si="38"/>
        <v>690065.89528621826</v>
      </c>
      <c r="J139" s="408">
        <f t="shared" si="39"/>
        <v>0.12533907743231468</v>
      </c>
      <c r="K139" s="735">
        <f t="shared" si="42"/>
        <v>11011185.169427564</v>
      </c>
      <c r="L139" s="100"/>
    </row>
    <row r="140" spans="1:12" ht="22.5" x14ac:dyDescent="0.25">
      <c r="A140" s="695" t="str">
        <f t="shared" si="36"/>
        <v>Marketing, Customer Relations, Publicity and Media Co-ordination</v>
      </c>
      <c r="B140" s="415"/>
      <c r="C140" s="733"/>
      <c r="D140" s="733">
        <v>20838266.324347999</v>
      </c>
      <c r="E140" s="733">
        <v>20838266.324347999</v>
      </c>
      <c r="F140" s="733">
        <v>1273572.4100000004</v>
      </c>
      <c r="G140" s="733">
        <v>8543036.3299999982</v>
      </c>
      <c r="H140" s="733">
        <f t="shared" si="44"/>
        <v>10419133.162173999</v>
      </c>
      <c r="I140" s="408">
        <f t="shared" si="38"/>
        <v>-1876096.8321740013</v>
      </c>
      <c r="J140" s="408">
        <f t="shared" si="39"/>
        <v>-0.18006266000947674</v>
      </c>
      <c r="K140" s="735">
        <f t="shared" si="42"/>
        <v>20838266.324347999</v>
      </c>
      <c r="L140" s="100"/>
    </row>
    <row r="141" spans="1:12" x14ac:dyDescent="0.25">
      <c r="A141" s="695" t="str">
        <f t="shared" si="36"/>
        <v>Property Services</v>
      </c>
      <c r="B141" s="415"/>
      <c r="C141" s="733"/>
      <c r="D141" s="733">
        <v>57794332.631016083</v>
      </c>
      <c r="E141" s="733">
        <v>57794332.631016083</v>
      </c>
      <c r="F141" s="733">
        <v>5788209.8800000018</v>
      </c>
      <c r="G141" s="733">
        <v>30035638.600000005</v>
      </c>
      <c r="H141" s="733">
        <f t="shared" si="44"/>
        <v>28897166.315508045</v>
      </c>
      <c r="I141" s="408">
        <f t="shared" si="38"/>
        <v>1138472.28449196</v>
      </c>
      <c r="J141" s="408">
        <f t="shared" si="39"/>
        <v>3.9397367619432765E-2</v>
      </c>
      <c r="K141" s="735">
        <f t="shared" si="42"/>
        <v>57794332.631016083</v>
      </c>
      <c r="L141" s="100"/>
    </row>
    <row r="142" spans="1:12" x14ac:dyDescent="0.25">
      <c r="A142" s="695" t="str">
        <f t="shared" si="36"/>
        <v>Risk Management</v>
      </c>
      <c r="B142" s="415"/>
      <c r="C142" s="733"/>
      <c r="D142" s="733"/>
      <c r="E142" s="733">
        <v>0</v>
      </c>
      <c r="F142" s="733"/>
      <c r="G142" s="733"/>
      <c r="H142" s="733"/>
      <c r="I142" s="408">
        <f t="shared" si="38"/>
        <v>0</v>
      </c>
      <c r="J142" s="408" t="str">
        <f t="shared" si="39"/>
        <v/>
      </c>
      <c r="K142" s="735"/>
      <c r="L142" s="100"/>
    </row>
    <row r="143" spans="1:12" x14ac:dyDescent="0.25">
      <c r="A143" s="695" t="str">
        <f t="shared" si="36"/>
        <v>Security Services</v>
      </c>
      <c r="B143" s="415"/>
      <c r="C143" s="733"/>
      <c r="D143" s="733">
        <v>131236960.70425577</v>
      </c>
      <c r="E143" s="733">
        <v>103844216.00984205</v>
      </c>
      <c r="F143" s="733">
        <v>21294060.790000003</v>
      </c>
      <c r="G143" s="733">
        <v>96527964.459999979</v>
      </c>
      <c r="H143" s="733">
        <f t="shared" si="44"/>
        <v>51922108.004921019</v>
      </c>
      <c r="I143" s="408">
        <f t="shared" si="38"/>
        <v>44605856.455078959</v>
      </c>
      <c r="J143" s="408">
        <f t="shared" si="39"/>
        <v>0.85909178515732354</v>
      </c>
      <c r="K143" s="735">
        <f t="shared" si="42"/>
        <v>103844216.00984205</v>
      </c>
      <c r="L143" s="100"/>
    </row>
    <row r="144" spans="1:12" x14ac:dyDescent="0.25">
      <c r="A144" s="695" t="str">
        <f t="shared" si="36"/>
        <v xml:space="preserve">Supply Chain Management </v>
      </c>
      <c r="B144" s="415"/>
      <c r="C144" s="733"/>
      <c r="D144" s="733">
        <v>63645857.888706505</v>
      </c>
      <c r="E144" s="733">
        <v>80742749.34554404</v>
      </c>
      <c r="F144" s="733">
        <v>3622743.169999999</v>
      </c>
      <c r="G144" s="733">
        <v>20324758.260000002</v>
      </c>
      <c r="H144" s="733">
        <f t="shared" si="44"/>
        <v>40371374.67277202</v>
      </c>
      <c r="I144" s="408">
        <f t="shared" si="38"/>
        <v>-20046616.412772018</v>
      </c>
      <c r="J144" s="408">
        <f t="shared" si="39"/>
        <v>-0.4965552096072719</v>
      </c>
      <c r="K144" s="735">
        <f t="shared" ref="K144" si="45">E144</f>
        <v>80742749.34554404</v>
      </c>
      <c r="L144" s="100"/>
    </row>
    <row r="145" spans="1:12" x14ac:dyDescent="0.25">
      <c r="A145" s="695" t="str">
        <f t="shared" si="36"/>
        <v>Valuation Service</v>
      </c>
      <c r="B145" s="415"/>
      <c r="C145" s="733"/>
      <c r="D145" s="733"/>
      <c r="E145" s="733">
        <v>0</v>
      </c>
      <c r="F145" s="733"/>
      <c r="G145" s="733"/>
      <c r="H145" s="733"/>
      <c r="I145" s="408">
        <f t="shared" si="38"/>
        <v>0</v>
      </c>
      <c r="J145" s="408" t="str">
        <f t="shared" si="39"/>
        <v/>
      </c>
      <c r="K145" s="735"/>
      <c r="L145" s="100"/>
    </row>
    <row r="146" spans="1:12" x14ac:dyDescent="0.25">
      <c r="A146" s="607" t="str">
        <f t="shared" si="36"/>
        <v>Internal audit</v>
      </c>
      <c r="B146" s="620"/>
      <c r="C146" s="608">
        <f t="shared" ref="C146:H146" si="46">SUM(C147:C147)</f>
        <v>0</v>
      </c>
      <c r="D146" s="608">
        <f t="shared" si="46"/>
        <v>21986532.785097998</v>
      </c>
      <c r="E146" s="608">
        <f t="shared" si="46"/>
        <v>21986532.785097998</v>
      </c>
      <c r="F146" s="608">
        <f t="shared" si="46"/>
        <v>2222073.9899999998</v>
      </c>
      <c r="G146" s="608">
        <f t="shared" si="46"/>
        <v>7554180.5700000012</v>
      </c>
      <c r="H146" s="608">
        <f t="shared" si="46"/>
        <v>10993266.392548999</v>
      </c>
      <c r="I146" s="608">
        <f t="shared" si="38"/>
        <v>-3439085.8225489976</v>
      </c>
      <c r="J146" s="608">
        <f t="shared" si="39"/>
        <v>-0.31283566682964553</v>
      </c>
      <c r="K146" s="610">
        <f>SUM(K147:K147)</f>
        <v>21986532.785097998</v>
      </c>
      <c r="L146" s="100"/>
    </row>
    <row r="147" spans="1:12" x14ac:dyDescent="0.25">
      <c r="A147" s="695" t="str">
        <f t="shared" si="36"/>
        <v>Governance Function</v>
      </c>
      <c r="B147" s="620"/>
      <c r="C147" s="733"/>
      <c r="D147" s="733">
        <v>21986532.785097998</v>
      </c>
      <c r="E147" s="733">
        <v>21986532.785097998</v>
      </c>
      <c r="F147" s="733">
        <v>2222073.9899999998</v>
      </c>
      <c r="G147" s="733">
        <v>7554180.5700000012</v>
      </c>
      <c r="H147" s="733">
        <f t="shared" ref="H147" si="47">E147/12*6</f>
        <v>10993266.392548999</v>
      </c>
      <c r="I147" s="408">
        <f t="shared" si="38"/>
        <v>-3439085.8225489976</v>
      </c>
      <c r="J147" s="408">
        <f t="shared" si="39"/>
        <v>-0.31283566682964553</v>
      </c>
      <c r="K147" s="735">
        <f t="shared" ref="K147" si="48">E147</f>
        <v>21986532.785097998</v>
      </c>
      <c r="L147" s="100"/>
    </row>
    <row r="148" spans="1:12" x14ac:dyDescent="0.25">
      <c r="A148" s="414" t="str">
        <f t="shared" si="36"/>
        <v>Community and public safety</v>
      </c>
      <c r="B148" s="620"/>
      <c r="C148" s="605">
        <f t="shared" ref="C148:H148" si="49">C149+C171+C177+C186+C189</f>
        <v>0</v>
      </c>
      <c r="D148" s="605">
        <f t="shared" si="49"/>
        <v>440067727.15977156</v>
      </c>
      <c r="E148" s="605">
        <f t="shared" si="49"/>
        <v>473667727.71673155</v>
      </c>
      <c r="F148" s="605">
        <f t="shared" si="49"/>
        <v>40450414.890000008</v>
      </c>
      <c r="G148" s="605">
        <f t="shared" si="49"/>
        <v>281149981.71000004</v>
      </c>
      <c r="H148" s="605">
        <f t="shared" si="49"/>
        <v>236833863.8583658</v>
      </c>
      <c r="I148" s="605">
        <f t="shared" si="38"/>
        <v>44316117.851634234</v>
      </c>
      <c r="J148" s="605">
        <f t="shared" si="39"/>
        <v>0.18711900878388188</v>
      </c>
      <c r="K148" s="606">
        <f>K149+K171+K177+K186+K189</f>
        <v>473667727.71673155</v>
      </c>
      <c r="L148" s="100"/>
    </row>
    <row r="149" spans="1:12" x14ac:dyDescent="0.25">
      <c r="A149" s="607" t="str">
        <f t="shared" si="36"/>
        <v>Community and social services</v>
      </c>
      <c r="B149" s="620"/>
      <c r="C149" s="611">
        <f t="shared" ref="C149:H149" si="50">SUM(C150:C170)</f>
        <v>0</v>
      </c>
      <c r="D149" s="611">
        <f t="shared" si="50"/>
        <v>128373725.79885694</v>
      </c>
      <c r="E149" s="611">
        <f t="shared" si="50"/>
        <v>128373725.79885694</v>
      </c>
      <c r="F149" s="611">
        <f t="shared" si="50"/>
        <v>10507261.050000003</v>
      </c>
      <c r="G149" s="611">
        <f t="shared" si="50"/>
        <v>81877559.859999985</v>
      </c>
      <c r="H149" s="611">
        <f t="shared" si="50"/>
        <v>64186862.899428479</v>
      </c>
      <c r="I149" s="611">
        <f t="shared" si="38"/>
        <v>17690696.960571505</v>
      </c>
      <c r="J149" s="611">
        <f t="shared" si="39"/>
        <v>0.27561242536950692</v>
      </c>
      <c r="K149" s="614">
        <f>SUM(K150:K170)</f>
        <v>128373725.79885694</v>
      </c>
      <c r="L149" s="100"/>
    </row>
    <row r="150" spans="1:12" x14ac:dyDescent="0.25">
      <c r="A150" s="695" t="str">
        <f t="shared" si="36"/>
        <v>Aged Care</v>
      </c>
      <c r="B150" s="620"/>
      <c r="C150" s="733"/>
      <c r="D150" s="733">
        <v>4431.0612499999997</v>
      </c>
      <c r="E150" s="733">
        <v>4431.0612499999997</v>
      </c>
      <c r="F150" s="733">
        <v>52.129999999999995</v>
      </c>
      <c r="G150" s="733">
        <v>292.5</v>
      </c>
      <c r="H150" s="733">
        <f t="shared" ref="H150" si="51">E150/12*6</f>
        <v>2215.5306249999999</v>
      </c>
      <c r="I150" s="408">
        <f t="shared" si="38"/>
        <v>-1923.0306249999999</v>
      </c>
      <c r="J150" s="408">
        <f t="shared" si="39"/>
        <v>-0.86797745122570802</v>
      </c>
      <c r="K150" s="735">
        <f t="shared" ref="K150" si="52">E150</f>
        <v>4431.0612499999997</v>
      </c>
      <c r="L150" s="100"/>
    </row>
    <row r="151" spans="1:12" x14ac:dyDescent="0.25">
      <c r="A151" s="695" t="str">
        <f t="shared" si="36"/>
        <v>Agricultural</v>
      </c>
      <c r="B151" s="620"/>
      <c r="C151" s="733"/>
      <c r="D151" s="733"/>
      <c r="E151" s="733">
        <v>0</v>
      </c>
      <c r="F151" s="733"/>
      <c r="G151" s="733"/>
      <c r="H151" s="733"/>
      <c r="I151" s="408">
        <f t="shared" si="38"/>
        <v>0</v>
      </c>
      <c r="J151" s="408" t="str">
        <f t="shared" si="39"/>
        <v/>
      </c>
      <c r="K151" s="735"/>
      <c r="L151" s="100"/>
    </row>
    <row r="152" spans="1:12" x14ac:dyDescent="0.25">
      <c r="A152" s="695" t="str">
        <f t="shared" si="36"/>
        <v>Animal Care and Diseases</v>
      </c>
      <c r="B152" s="620"/>
      <c r="C152" s="733"/>
      <c r="D152" s="733">
        <v>982940.46</v>
      </c>
      <c r="E152" s="733">
        <v>982940.46</v>
      </c>
      <c r="F152" s="733">
        <v>236637.64</v>
      </c>
      <c r="G152" s="733">
        <v>690137.28</v>
      </c>
      <c r="H152" s="733">
        <f t="shared" ref="H152:H153" si="53">E152/12*6</f>
        <v>491470.23</v>
      </c>
      <c r="I152" s="408">
        <f t="shared" si="38"/>
        <v>198667.05000000005</v>
      </c>
      <c r="J152" s="408">
        <f t="shared" si="39"/>
        <v>0.40423007920540793</v>
      </c>
      <c r="K152" s="735">
        <f t="shared" ref="K152:K153" si="54">E152</f>
        <v>982940.46</v>
      </c>
      <c r="L152" s="100"/>
    </row>
    <row r="153" spans="1:12" ht="22.5" x14ac:dyDescent="0.25">
      <c r="A153" s="695" t="str">
        <f t="shared" si="36"/>
        <v>Cemeteries, Funeral Parlours and Crematoriums</v>
      </c>
      <c r="B153" s="620"/>
      <c r="C153" s="733"/>
      <c r="D153" s="733">
        <v>26579168.830668706</v>
      </c>
      <c r="E153" s="733">
        <v>26579168.830668706</v>
      </c>
      <c r="F153" s="733">
        <v>2084654.81</v>
      </c>
      <c r="G153" s="733">
        <v>13480775.709999999</v>
      </c>
      <c r="H153" s="733">
        <f t="shared" si="53"/>
        <v>13289584.415334355</v>
      </c>
      <c r="I153" s="408">
        <f t="shared" si="38"/>
        <v>191191.29466564395</v>
      </c>
      <c r="J153" s="408">
        <f t="shared" si="39"/>
        <v>1.4386551805565527E-2</v>
      </c>
      <c r="K153" s="735">
        <f t="shared" si="54"/>
        <v>26579168.830668706</v>
      </c>
      <c r="L153" s="100"/>
    </row>
    <row r="154" spans="1:12" x14ac:dyDescent="0.25">
      <c r="A154" s="695" t="str">
        <f t="shared" si="36"/>
        <v>Child Care Facilities</v>
      </c>
      <c r="B154" s="620"/>
      <c r="C154" s="733"/>
      <c r="D154" s="733"/>
      <c r="E154" s="733">
        <v>0</v>
      </c>
      <c r="F154" s="733"/>
      <c r="G154" s="733"/>
      <c r="H154" s="733"/>
      <c r="I154" s="408">
        <f t="shared" si="38"/>
        <v>0</v>
      </c>
      <c r="J154" s="408" t="str">
        <f t="shared" si="39"/>
        <v/>
      </c>
      <c r="K154" s="735"/>
      <c r="L154" s="100"/>
    </row>
    <row r="155" spans="1:12" x14ac:dyDescent="0.25">
      <c r="A155" s="695" t="str">
        <f t="shared" si="36"/>
        <v>Community Halls and Facilities</v>
      </c>
      <c r="B155" s="620"/>
      <c r="C155" s="733"/>
      <c r="D155" s="733">
        <v>15746961.964834005</v>
      </c>
      <c r="E155" s="733">
        <v>15746961.964834005</v>
      </c>
      <c r="F155" s="733">
        <v>2381884.41</v>
      </c>
      <c r="G155" s="733">
        <v>29145321.669999998</v>
      </c>
      <c r="H155" s="733">
        <f t="shared" ref="H155" si="55">E155/12*6</f>
        <v>7873480.9824170023</v>
      </c>
      <c r="I155" s="408">
        <f t="shared" si="38"/>
        <v>21271840.687582996</v>
      </c>
      <c r="J155" s="408">
        <f t="shared" si="39"/>
        <v>2.7017072544008309</v>
      </c>
      <c r="K155" s="735">
        <f t="shared" ref="K155" si="56">E155</f>
        <v>15746961.964834005</v>
      </c>
      <c r="L155" s="100"/>
    </row>
    <row r="156" spans="1:12" x14ac:dyDescent="0.25">
      <c r="A156" s="695" t="str">
        <f t="shared" si="36"/>
        <v>Consumer Protection</v>
      </c>
      <c r="B156" s="620"/>
      <c r="C156" s="733"/>
      <c r="D156" s="733"/>
      <c r="E156" s="733">
        <v>0</v>
      </c>
      <c r="F156" s="733"/>
      <c r="G156" s="733"/>
      <c r="H156" s="733"/>
      <c r="I156" s="408">
        <f t="shared" si="38"/>
        <v>0</v>
      </c>
      <c r="J156" s="408" t="str">
        <f t="shared" si="39"/>
        <v/>
      </c>
      <c r="K156" s="735"/>
      <c r="L156" s="100"/>
    </row>
    <row r="157" spans="1:12" x14ac:dyDescent="0.25">
      <c r="A157" s="695" t="str">
        <f t="shared" si="36"/>
        <v>Cultural Matters</v>
      </c>
      <c r="B157" s="620"/>
      <c r="C157" s="733"/>
      <c r="D157" s="733"/>
      <c r="E157" s="733">
        <v>0</v>
      </c>
      <c r="F157" s="733"/>
      <c r="G157" s="733"/>
      <c r="H157" s="733"/>
      <c r="I157" s="408">
        <f>G157-H157</f>
        <v>0</v>
      </c>
      <c r="J157" s="408" t="str">
        <f>IF(I157=0,"",I157/H157)</f>
        <v/>
      </c>
      <c r="K157" s="735"/>
      <c r="L157" s="100"/>
    </row>
    <row r="158" spans="1:12" x14ac:dyDescent="0.25">
      <c r="A158" s="695" t="str">
        <f t="shared" si="36"/>
        <v>Disaster Management</v>
      </c>
      <c r="B158" s="620"/>
      <c r="C158" s="733"/>
      <c r="D158" s="733"/>
      <c r="E158" s="733">
        <v>0</v>
      </c>
      <c r="F158" s="733"/>
      <c r="G158" s="733"/>
      <c r="H158" s="733"/>
      <c r="I158" s="408">
        <f>G158-H158</f>
        <v>0</v>
      </c>
      <c r="J158" s="408" t="str">
        <f>IF(I158=0,"",I158/H158)</f>
        <v/>
      </c>
      <c r="K158" s="735"/>
      <c r="L158" s="100"/>
    </row>
    <row r="159" spans="1:12" x14ac:dyDescent="0.25">
      <c r="A159" s="695" t="str">
        <f t="shared" si="36"/>
        <v>Education</v>
      </c>
      <c r="B159" s="620"/>
      <c r="C159" s="733"/>
      <c r="D159" s="733"/>
      <c r="E159" s="733">
        <v>0</v>
      </c>
      <c r="F159" s="733"/>
      <c r="G159" s="733"/>
      <c r="H159" s="733"/>
      <c r="I159" s="408">
        <f t="shared" ref="I159:I164" si="57">G159-H159</f>
        <v>0</v>
      </c>
      <c r="J159" s="408" t="str">
        <f t="shared" ref="J159:J164" si="58">IF(I159=0,"",I159/H159)</f>
        <v/>
      </c>
      <c r="K159" s="735"/>
      <c r="L159" s="100"/>
    </row>
    <row r="160" spans="1:12" x14ac:dyDescent="0.25">
      <c r="A160" s="695" t="str">
        <f t="shared" ref="A160:A191" si="59">A38</f>
        <v>Indigenous and Customary Law</v>
      </c>
      <c r="B160" s="620"/>
      <c r="C160" s="733"/>
      <c r="D160" s="733"/>
      <c r="E160" s="733">
        <v>0</v>
      </c>
      <c r="F160" s="733"/>
      <c r="G160" s="733"/>
      <c r="H160" s="733"/>
      <c r="I160" s="408">
        <f t="shared" si="57"/>
        <v>0</v>
      </c>
      <c r="J160" s="408" t="str">
        <f t="shared" si="58"/>
        <v/>
      </c>
      <c r="K160" s="735"/>
      <c r="L160" s="100"/>
    </row>
    <row r="161" spans="1:12" x14ac:dyDescent="0.25">
      <c r="A161" s="695" t="str">
        <f t="shared" si="59"/>
        <v>Industrial Promotion</v>
      </c>
      <c r="B161" s="620"/>
      <c r="C161" s="733"/>
      <c r="D161" s="733"/>
      <c r="E161" s="733">
        <v>0</v>
      </c>
      <c r="F161" s="733"/>
      <c r="G161" s="733"/>
      <c r="H161" s="733"/>
      <c r="I161" s="408">
        <f t="shared" si="57"/>
        <v>0</v>
      </c>
      <c r="J161" s="408" t="str">
        <f t="shared" si="58"/>
        <v/>
      </c>
      <c r="K161" s="735"/>
      <c r="L161" s="100"/>
    </row>
    <row r="162" spans="1:12" x14ac:dyDescent="0.25">
      <c r="A162" s="695" t="str">
        <f t="shared" si="59"/>
        <v>Language Policy</v>
      </c>
      <c r="B162" s="620"/>
      <c r="C162" s="733"/>
      <c r="D162" s="733"/>
      <c r="E162" s="733">
        <v>0</v>
      </c>
      <c r="F162" s="733"/>
      <c r="G162" s="733"/>
      <c r="H162" s="733"/>
      <c r="I162" s="408">
        <f t="shared" si="57"/>
        <v>0</v>
      </c>
      <c r="J162" s="408" t="str">
        <f t="shared" si="58"/>
        <v/>
      </c>
      <c r="K162" s="735"/>
      <c r="L162" s="100"/>
    </row>
    <row r="163" spans="1:12" x14ac:dyDescent="0.25">
      <c r="A163" s="695" t="str">
        <f t="shared" si="59"/>
        <v>Libraries and Archives</v>
      </c>
      <c r="B163" s="620"/>
      <c r="C163" s="733"/>
      <c r="D163" s="733">
        <v>68987451.478751421</v>
      </c>
      <c r="E163" s="733">
        <v>68987451.478751421</v>
      </c>
      <c r="F163" s="733">
        <v>4919316.8600000003</v>
      </c>
      <c r="G163" s="733">
        <v>32850668.019999992</v>
      </c>
      <c r="H163" s="733">
        <f t="shared" ref="H163" si="60">E163/12*6</f>
        <v>34493725.73937571</v>
      </c>
      <c r="I163" s="408">
        <f t="shared" si="57"/>
        <v>-1643057.7193757184</v>
      </c>
      <c r="J163" s="408">
        <f t="shared" si="58"/>
        <v>-4.7633524189012573E-2</v>
      </c>
      <c r="K163" s="735">
        <f t="shared" ref="K163" si="61">E163</f>
        <v>68987451.478751421</v>
      </c>
      <c r="L163" s="100"/>
    </row>
    <row r="164" spans="1:12" x14ac:dyDescent="0.25">
      <c r="A164" s="695" t="str">
        <f t="shared" si="59"/>
        <v>Literacy Programmes</v>
      </c>
      <c r="B164" s="620"/>
      <c r="C164" s="733"/>
      <c r="D164" s="733"/>
      <c r="E164" s="733">
        <v>0</v>
      </c>
      <c r="F164" s="733"/>
      <c r="G164" s="733"/>
      <c r="H164" s="733"/>
      <c r="I164" s="408">
        <f t="shared" si="57"/>
        <v>0</v>
      </c>
      <c r="J164" s="408" t="str">
        <f t="shared" si="58"/>
        <v/>
      </c>
      <c r="K164" s="735"/>
      <c r="L164" s="100"/>
    </row>
    <row r="165" spans="1:12" x14ac:dyDescent="0.25">
      <c r="A165" s="695" t="str">
        <f t="shared" si="59"/>
        <v>Media Services</v>
      </c>
      <c r="B165" s="620"/>
      <c r="C165" s="733"/>
      <c r="D165" s="733"/>
      <c r="E165" s="733">
        <v>0</v>
      </c>
      <c r="F165" s="733"/>
      <c r="G165" s="733"/>
      <c r="H165" s="733"/>
      <c r="I165" s="408">
        <f t="shared" si="38"/>
        <v>0</v>
      </c>
      <c r="J165" s="408" t="str">
        <f t="shared" si="39"/>
        <v/>
      </c>
      <c r="K165" s="735"/>
      <c r="L165" s="100"/>
    </row>
    <row r="166" spans="1:12" x14ac:dyDescent="0.25">
      <c r="A166" s="695" t="str">
        <f t="shared" si="59"/>
        <v>Museums and Art Galleries</v>
      </c>
      <c r="B166" s="620"/>
      <c r="C166" s="733"/>
      <c r="D166" s="733">
        <v>7907722.2016169671</v>
      </c>
      <c r="E166" s="733">
        <v>7907722.2016169671</v>
      </c>
      <c r="F166" s="733">
        <v>614113.34000000008</v>
      </c>
      <c r="G166" s="733">
        <v>3193098.33</v>
      </c>
      <c r="H166" s="733">
        <f t="shared" ref="H166:H167" si="62">E166/12*6</f>
        <v>3953861.1008084835</v>
      </c>
      <c r="I166" s="408">
        <f t="shared" si="38"/>
        <v>-760762.77080848347</v>
      </c>
      <c r="J166" s="408">
        <f t="shared" si="39"/>
        <v>-0.19241009014022345</v>
      </c>
      <c r="K166" s="735">
        <f t="shared" ref="K166:K167" si="63">E166</f>
        <v>7907722.2016169671</v>
      </c>
      <c r="L166" s="100"/>
    </row>
    <row r="167" spans="1:12" x14ac:dyDescent="0.25">
      <c r="A167" s="695" t="str">
        <f t="shared" si="59"/>
        <v>Population Development</v>
      </c>
      <c r="B167" s="620"/>
      <c r="C167" s="733"/>
      <c r="D167" s="733">
        <v>8165049.8017358435</v>
      </c>
      <c r="E167" s="733">
        <v>8165049.8017358435</v>
      </c>
      <c r="F167" s="733">
        <v>269527.22000000009</v>
      </c>
      <c r="G167" s="733">
        <v>2513505.1099999994</v>
      </c>
      <c r="H167" s="733">
        <f t="shared" si="62"/>
        <v>4082524.9008679213</v>
      </c>
      <c r="I167" s="408">
        <f t="shared" si="38"/>
        <v>-1569019.7908679219</v>
      </c>
      <c r="J167" s="408">
        <f t="shared" si="39"/>
        <v>-0.38432583486125393</v>
      </c>
      <c r="K167" s="735">
        <f t="shared" si="63"/>
        <v>8165049.8017358435</v>
      </c>
      <c r="L167" s="100"/>
    </row>
    <row r="168" spans="1:12" x14ac:dyDescent="0.25">
      <c r="A168" s="695" t="str">
        <f t="shared" si="59"/>
        <v>Provincial Cultural Matters</v>
      </c>
      <c r="B168" s="620"/>
      <c r="C168" s="733"/>
      <c r="D168" s="733"/>
      <c r="E168" s="733">
        <v>0</v>
      </c>
      <c r="F168" s="733"/>
      <c r="G168" s="733"/>
      <c r="H168" s="733"/>
      <c r="I168" s="408">
        <f t="shared" si="38"/>
        <v>0</v>
      </c>
      <c r="J168" s="408" t="str">
        <f t="shared" si="39"/>
        <v/>
      </c>
      <c r="K168" s="735"/>
      <c r="L168" s="100"/>
    </row>
    <row r="169" spans="1:12" x14ac:dyDescent="0.25">
      <c r="A169" s="695" t="str">
        <f t="shared" si="59"/>
        <v>Theatres</v>
      </c>
      <c r="B169" s="620"/>
      <c r="C169" s="733"/>
      <c r="D169" s="733"/>
      <c r="E169" s="733">
        <v>0</v>
      </c>
      <c r="F169" s="733">
        <v>1074.6400000000001</v>
      </c>
      <c r="G169" s="733">
        <v>3761.2400000000007</v>
      </c>
      <c r="H169" s="733"/>
      <c r="I169" s="408">
        <f t="shared" si="38"/>
        <v>3761.2400000000007</v>
      </c>
      <c r="J169" s="408" t="e">
        <f t="shared" si="39"/>
        <v>#DIV/0!</v>
      </c>
      <c r="K169" s="735"/>
      <c r="L169" s="100"/>
    </row>
    <row r="170" spans="1:12" x14ac:dyDescent="0.25">
      <c r="A170" s="695" t="str">
        <f t="shared" si="59"/>
        <v>Zoo's</v>
      </c>
      <c r="B170" s="620"/>
      <c r="C170" s="733"/>
      <c r="D170" s="733"/>
      <c r="E170" s="733">
        <v>0</v>
      </c>
      <c r="F170" s="733"/>
      <c r="G170" s="733"/>
      <c r="H170" s="733"/>
      <c r="I170" s="408">
        <f t="shared" si="38"/>
        <v>0</v>
      </c>
      <c r="J170" s="408" t="str">
        <f t="shared" si="39"/>
        <v/>
      </c>
      <c r="K170" s="735"/>
      <c r="L170" s="100"/>
    </row>
    <row r="171" spans="1:12" x14ac:dyDescent="0.25">
      <c r="A171" s="607" t="str">
        <f t="shared" si="59"/>
        <v>Sport and recreation</v>
      </c>
      <c r="B171" s="620"/>
      <c r="C171" s="611">
        <f t="shared" ref="C171:K171" si="64">SUM(C172:C176)</f>
        <v>0</v>
      </c>
      <c r="D171" s="611">
        <f t="shared" si="64"/>
        <v>114418472.68896006</v>
      </c>
      <c r="E171" s="611">
        <f t="shared" si="64"/>
        <v>114418472.68896006</v>
      </c>
      <c r="F171" s="611">
        <f t="shared" si="64"/>
        <v>8988137.9299999997</v>
      </c>
      <c r="G171" s="611">
        <f t="shared" si="64"/>
        <v>60195800.49000001</v>
      </c>
      <c r="H171" s="611">
        <f t="shared" si="64"/>
        <v>57209236.34448003</v>
      </c>
      <c r="I171" s="611">
        <f t="shared" ref="I171:I176" si="65">G171-H171</f>
        <v>2986564.1455199793</v>
      </c>
      <c r="J171" s="611">
        <f t="shared" ref="J171:J176" si="66">IF(I171=0,"",I171/H171)</f>
        <v>5.2204230231927315E-2</v>
      </c>
      <c r="K171" s="614">
        <f t="shared" si="64"/>
        <v>114418472.68896006</v>
      </c>
      <c r="L171" s="100"/>
    </row>
    <row r="172" spans="1:12" x14ac:dyDescent="0.25">
      <c r="A172" s="695" t="str">
        <f t="shared" si="59"/>
        <v xml:space="preserve">Beaches and Jetties </v>
      </c>
      <c r="B172" s="620"/>
      <c r="C172" s="733"/>
      <c r="D172" s="733"/>
      <c r="E172" s="733"/>
      <c r="F172" s="733"/>
      <c r="G172" s="733"/>
      <c r="H172" s="733"/>
      <c r="I172" s="408">
        <f t="shared" si="65"/>
        <v>0</v>
      </c>
      <c r="J172" s="408" t="str">
        <f t="shared" si="66"/>
        <v/>
      </c>
      <c r="K172" s="735"/>
      <c r="L172" s="100"/>
    </row>
    <row r="173" spans="1:12" x14ac:dyDescent="0.25">
      <c r="A173" s="695" t="str">
        <f t="shared" si="59"/>
        <v>Casinos, Racing, Gambling, Wagering</v>
      </c>
      <c r="B173" s="620"/>
      <c r="C173" s="733"/>
      <c r="D173" s="733"/>
      <c r="E173" s="733"/>
      <c r="F173" s="733"/>
      <c r="G173" s="733"/>
      <c r="H173" s="733"/>
      <c r="I173" s="408">
        <f t="shared" si="65"/>
        <v>0</v>
      </c>
      <c r="J173" s="408" t="str">
        <f t="shared" si="66"/>
        <v/>
      </c>
      <c r="K173" s="735"/>
      <c r="L173" s="100"/>
    </row>
    <row r="174" spans="1:12" x14ac:dyDescent="0.25">
      <c r="A174" s="695" t="str">
        <f t="shared" si="59"/>
        <v>Community Parks (including Nurseries)</v>
      </c>
      <c r="B174" s="620"/>
      <c r="C174" s="733"/>
      <c r="D174" s="733">
        <v>48114791.713263765</v>
      </c>
      <c r="E174" s="733">
        <v>48114791.713263765</v>
      </c>
      <c r="F174" s="733">
        <v>2965688.0200000005</v>
      </c>
      <c r="G174" s="733">
        <v>24343288.430000011</v>
      </c>
      <c r="H174" s="733">
        <f t="shared" ref="H174:H175" si="67">E174/12*6</f>
        <v>24057395.856631882</v>
      </c>
      <c r="I174" s="408">
        <f t="shared" si="65"/>
        <v>285892.57336812839</v>
      </c>
      <c r="J174" s="408">
        <f t="shared" si="66"/>
        <v>1.1883770590627606E-2</v>
      </c>
      <c r="K174" s="735">
        <f t="shared" ref="K174:K175" si="68">E174</f>
        <v>48114791.713263765</v>
      </c>
      <c r="L174" s="100"/>
    </row>
    <row r="175" spans="1:12" x14ac:dyDescent="0.25">
      <c r="A175" s="695" t="str">
        <f t="shared" si="59"/>
        <v>Recreational Facilities</v>
      </c>
      <c r="B175" s="620"/>
      <c r="C175" s="733"/>
      <c r="D175" s="733">
        <v>66303680.975696295</v>
      </c>
      <c r="E175" s="733">
        <v>66303680.975696295</v>
      </c>
      <c r="F175" s="733">
        <v>6022449.9100000001</v>
      </c>
      <c r="G175" s="733">
        <v>35852512.060000002</v>
      </c>
      <c r="H175" s="733">
        <f t="shared" si="67"/>
        <v>33151840.487848148</v>
      </c>
      <c r="I175" s="408">
        <f t="shared" si="65"/>
        <v>2700671.5721518546</v>
      </c>
      <c r="J175" s="408">
        <f t="shared" si="66"/>
        <v>8.1463699523463551E-2</v>
      </c>
      <c r="K175" s="735">
        <f t="shared" si="68"/>
        <v>66303680.975696295</v>
      </c>
      <c r="L175" s="100"/>
    </row>
    <row r="176" spans="1:12" x14ac:dyDescent="0.25">
      <c r="A176" s="695" t="str">
        <f t="shared" si="59"/>
        <v>Sports Grounds and Stadiums</v>
      </c>
      <c r="B176" s="620"/>
      <c r="C176" s="733"/>
      <c r="D176" s="733"/>
      <c r="E176" s="733">
        <v>0</v>
      </c>
      <c r="F176" s="733"/>
      <c r="G176" s="733"/>
      <c r="H176" s="733"/>
      <c r="I176" s="408">
        <f t="shared" si="65"/>
        <v>0</v>
      </c>
      <c r="J176" s="408" t="str">
        <f t="shared" si="66"/>
        <v/>
      </c>
      <c r="K176" s="735"/>
      <c r="L176" s="100"/>
    </row>
    <row r="177" spans="1:12" x14ac:dyDescent="0.25">
      <c r="A177" s="607" t="str">
        <f t="shared" si="59"/>
        <v>Public safety</v>
      </c>
      <c r="B177" s="620"/>
      <c r="C177" s="611">
        <f t="shared" ref="C177:K177" si="69">SUM(C178:C185)</f>
        <v>0</v>
      </c>
      <c r="D177" s="611">
        <f t="shared" si="69"/>
        <v>106871795.2822189</v>
      </c>
      <c r="E177" s="611">
        <f t="shared" si="69"/>
        <v>140471795.83917889</v>
      </c>
      <c r="F177" s="611">
        <f t="shared" si="69"/>
        <v>14536762.860000003</v>
      </c>
      <c r="G177" s="611">
        <f t="shared" si="69"/>
        <v>100105650.52000001</v>
      </c>
      <c r="H177" s="611">
        <f t="shared" si="69"/>
        <v>70235897.919589445</v>
      </c>
      <c r="I177" s="611">
        <f t="shared" si="38"/>
        <v>29869752.600410566</v>
      </c>
      <c r="J177" s="611">
        <f t="shared" si="39"/>
        <v>0.42527757863375465</v>
      </c>
      <c r="K177" s="614">
        <f t="shared" si="69"/>
        <v>140471795.83917889</v>
      </c>
      <c r="L177" s="100"/>
    </row>
    <row r="178" spans="1:12" x14ac:dyDescent="0.25">
      <c r="A178" s="695" t="str">
        <f t="shared" si="59"/>
        <v>Civil Defence</v>
      </c>
      <c r="B178" s="620"/>
      <c r="C178" s="733"/>
      <c r="D178" s="733">
        <v>12197113.976451974</v>
      </c>
      <c r="E178" s="733">
        <v>12197113.976451974</v>
      </c>
      <c r="F178" s="733">
        <v>92044.89</v>
      </c>
      <c r="G178" s="733">
        <v>6842217.8899999997</v>
      </c>
      <c r="H178" s="733">
        <f t="shared" ref="H178" si="70">E178/12*6</f>
        <v>6098556.9882259872</v>
      </c>
      <c r="I178" s="408">
        <f t="shared" si="38"/>
        <v>743660.90177401248</v>
      </c>
      <c r="J178" s="408">
        <f t="shared" si="39"/>
        <v>0.12194046939460287</v>
      </c>
      <c r="K178" s="735">
        <f t="shared" ref="K178" si="71">E178</f>
        <v>12197113.976451974</v>
      </c>
      <c r="L178" s="100"/>
    </row>
    <row r="179" spans="1:12" x14ac:dyDescent="0.25">
      <c r="A179" s="695" t="str">
        <f t="shared" si="59"/>
        <v>Cleansing</v>
      </c>
      <c r="B179" s="620"/>
      <c r="C179" s="733"/>
      <c r="D179" s="733"/>
      <c r="E179" s="733"/>
      <c r="F179" s="733"/>
      <c r="G179" s="733"/>
      <c r="H179" s="733"/>
      <c r="I179" s="408">
        <f t="shared" si="38"/>
        <v>0</v>
      </c>
      <c r="J179" s="408" t="str">
        <f t="shared" si="39"/>
        <v/>
      </c>
      <c r="K179" s="735"/>
      <c r="L179" s="100"/>
    </row>
    <row r="180" spans="1:12" x14ac:dyDescent="0.25">
      <c r="A180" s="695" t="str">
        <f t="shared" si="59"/>
        <v>Control of Public Nuisances</v>
      </c>
      <c r="B180" s="620"/>
      <c r="C180" s="733"/>
      <c r="D180" s="733"/>
      <c r="E180" s="733"/>
      <c r="F180" s="733"/>
      <c r="G180" s="733"/>
      <c r="H180" s="733"/>
      <c r="I180" s="408">
        <f>G180-H180</f>
        <v>0</v>
      </c>
      <c r="J180" s="408" t="str">
        <f>IF(I180=0,"",I180/H180)</f>
        <v/>
      </c>
      <c r="K180" s="735"/>
      <c r="L180" s="100"/>
    </row>
    <row r="181" spans="1:12" x14ac:dyDescent="0.25">
      <c r="A181" s="695" t="str">
        <f t="shared" si="59"/>
        <v xml:space="preserve">Fencing and Fences </v>
      </c>
      <c r="B181" s="620"/>
      <c r="C181" s="733"/>
      <c r="D181" s="733"/>
      <c r="E181" s="733"/>
      <c r="F181" s="733"/>
      <c r="G181" s="733"/>
      <c r="H181" s="733"/>
      <c r="I181" s="408">
        <f t="shared" si="38"/>
        <v>0</v>
      </c>
      <c r="J181" s="408" t="str">
        <f t="shared" si="39"/>
        <v/>
      </c>
      <c r="K181" s="735"/>
      <c r="L181" s="100"/>
    </row>
    <row r="182" spans="1:12" x14ac:dyDescent="0.25">
      <c r="A182" s="695" t="str">
        <f t="shared" si="59"/>
        <v>Fire Fighting and Protection</v>
      </c>
      <c r="B182" s="620"/>
      <c r="C182" s="733"/>
      <c r="D182" s="733">
        <v>94674681.305766925</v>
      </c>
      <c r="E182" s="733">
        <v>128274681.86272691</v>
      </c>
      <c r="F182" s="733">
        <v>8718019.2800000012</v>
      </c>
      <c r="G182" s="733">
        <v>56348256.850000001</v>
      </c>
      <c r="H182" s="733">
        <f t="shared" ref="H182" si="72">E182/12*6</f>
        <v>64137340.931363463</v>
      </c>
      <c r="I182" s="408">
        <f t="shared" si="38"/>
        <v>-7789084.0813634619</v>
      </c>
      <c r="J182" s="408">
        <f t="shared" si="39"/>
        <v>-0.1214438261433218</v>
      </c>
      <c r="K182" s="735">
        <f t="shared" ref="K182" si="73">E182</f>
        <v>128274681.86272691</v>
      </c>
      <c r="L182" s="100"/>
    </row>
    <row r="183" spans="1:12" x14ac:dyDescent="0.25">
      <c r="A183" s="695" t="str">
        <f t="shared" si="59"/>
        <v>Licensing and Control of Animals</v>
      </c>
      <c r="B183" s="620"/>
      <c r="C183" s="733"/>
      <c r="D183" s="733"/>
      <c r="E183" s="733"/>
      <c r="F183" s="733"/>
      <c r="G183" s="733"/>
      <c r="H183" s="733"/>
      <c r="I183" s="408">
        <f>G183-H183</f>
        <v>0</v>
      </c>
      <c r="J183" s="408" t="str">
        <f>IF(I183=0,"",I183/H183)</f>
        <v/>
      </c>
      <c r="K183" s="735"/>
      <c r="L183" s="100"/>
    </row>
    <row r="184" spans="1:12" ht="22.5" x14ac:dyDescent="0.25">
      <c r="A184" s="695" t="str">
        <f t="shared" si="59"/>
        <v>Police Forces, Traffic and Street Parking Control</v>
      </c>
      <c r="B184" s="620"/>
      <c r="C184" s="733"/>
      <c r="D184" s="733"/>
      <c r="E184" s="733"/>
      <c r="F184" s="733">
        <v>5726698.6900000013</v>
      </c>
      <c r="G184" s="733">
        <v>36915175.780000001</v>
      </c>
      <c r="H184" s="733"/>
      <c r="I184" s="408">
        <f>G184-H184</f>
        <v>36915175.780000001</v>
      </c>
      <c r="J184" s="408" t="e">
        <f>IF(I184=0,"",I184/H184)</f>
        <v>#DIV/0!</v>
      </c>
      <c r="K184" s="735"/>
      <c r="L184" s="100"/>
    </row>
    <row r="185" spans="1:12" x14ac:dyDescent="0.25">
      <c r="A185" s="695" t="str">
        <f t="shared" si="59"/>
        <v>Pounds</v>
      </c>
      <c r="B185" s="620"/>
      <c r="C185" s="733"/>
      <c r="D185" s="733"/>
      <c r="E185" s="733"/>
      <c r="F185" s="733"/>
      <c r="G185" s="733"/>
      <c r="H185" s="733"/>
      <c r="I185" s="408">
        <f t="shared" si="38"/>
        <v>0</v>
      </c>
      <c r="J185" s="408" t="str">
        <f t="shared" si="39"/>
        <v/>
      </c>
      <c r="K185" s="735"/>
      <c r="L185" s="100"/>
    </row>
    <row r="186" spans="1:12" x14ac:dyDescent="0.25">
      <c r="A186" s="607" t="str">
        <f t="shared" si="59"/>
        <v>Housing</v>
      </c>
      <c r="B186" s="620"/>
      <c r="C186" s="611">
        <f t="shared" ref="C186:H186" si="74">SUM(C187:C188)</f>
        <v>0</v>
      </c>
      <c r="D186" s="611">
        <f t="shared" si="74"/>
        <v>90129848.361797929</v>
      </c>
      <c r="E186" s="611">
        <f t="shared" si="74"/>
        <v>90129848.361797929</v>
      </c>
      <c r="F186" s="611">
        <f t="shared" si="74"/>
        <v>5682048.9600000018</v>
      </c>
      <c r="G186" s="611">
        <f t="shared" si="74"/>
        <v>33998856.170000002</v>
      </c>
      <c r="H186" s="611">
        <f t="shared" si="74"/>
        <v>45064924.180898964</v>
      </c>
      <c r="I186" s="611">
        <f>G186-H186</f>
        <v>-11066068.010898963</v>
      </c>
      <c r="J186" s="611">
        <f>IF(I186=0,"",I186/H186)</f>
        <v>-0.24555834081685599</v>
      </c>
      <c r="K186" s="611">
        <f>SUM(K187:K188)</f>
        <v>90129848.361797929</v>
      </c>
      <c r="L186" s="100"/>
    </row>
    <row r="187" spans="1:12" x14ac:dyDescent="0.25">
      <c r="A187" s="695" t="str">
        <f t="shared" si="59"/>
        <v>Housing</v>
      </c>
      <c r="B187" s="620"/>
      <c r="C187" s="733"/>
      <c r="D187" s="733">
        <v>90129848.361797929</v>
      </c>
      <c r="E187" s="733">
        <v>90129848.361797929</v>
      </c>
      <c r="F187" s="733">
        <v>5682048.9600000018</v>
      </c>
      <c r="G187" s="733">
        <v>33998856.170000002</v>
      </c>
      <c r="H187" s="733">
        <f t="shared" ref="H187" si="75">E187/12*6</f>
        <v>45064924.180898964</v>
      </c>
      <c r="I187" s="408">
        <f>G187-H187</f>
        <v>-11066068.010898963</v>
      </c>
      <c r="J187" s="408">
        <f>IF(I187=0,"",I187/H187)</f>
        <v>-0.24555834081685599</v>
      </c>
      <c r="K187" s="735">
        <f t="shared" ref="K187" si="76">E187</f>
        <v>90129848.361797929</v>
      </c>
      <c r="L187" s="100"/>
    </row>
    <row r="188" spans="1:12" x14ac:dyDescent="0.25">
      <c r="A188" s="695" t="str">
        <f t="shared" si="59"/>
        <v>Informal Settlements</v>
      </c>
      <c r="B188" s="620"/>
      <c r="C188" s="733"/>
      <c r="D188" s="733"/>
      <c r="E188" s="733"/>
      <c r="F188" s="733"/>
      <c r="G188" s="733"/>
      <c r="H188" s="733"/>
      <c r="I188" s="408">
        <f>G188-H188</f>
        <v>0</v>
      </c>
      <c r="J188" s="408" t="str">
        <f>IF(I188=0,"",I188/H188)</f>
        <v/>
      </c>
      <c r="K188" s="735"/>
      <c r="L188" s="100"/>
    </row>
    <row r="189" spans="1:12" x14ac:dyDescent="0.25">
      <c r="A189" s="607" t="str">
        <f t="shared" si="59"/>
        <v>Health</v>
      </c>
      <c r="B189" s="620"/>
      <c r="C189" s="611">
        <f t="shared" ref="C189:K189" si="77">SUM(C190:C196)</f>
        <v>0</v>
      </c>
      <c r="D189" s="611">
        <f t="shared" si="77"/>
        <v>273885.02793777513</v>
      </c>
      <c r="E189" s="611">
        <f t="shared" si="77"/>
        <v>273885.02793777513</v>
      </c>
      <c r="F189" s="611">
        <f t="shared" si="77"/>
        <v>736204.09</v>
      </c>
      <c r="G189" s="611">
        <f t="shared" si="77"/>
        <v>4972114.67</v>
      </c>
      <c r="H189" s="611">
        <f t="shared" si="77"/>
        <v>136942.51396888756</v>
      </c>
      <c r="I189" s="611">
        <f t="shared" si="38"/>
        <v>4835172.1560311122</v>
      </c>
      <c r="J189" s="611">
        <f t="shared" si="39"/>
        <v>35.30804288527689</v>
      </c>
      <c r="K189" s="614">
        <f t="shared" si="77"/>
        <v>273885.02793777513</v>
      </c>
      <c r="L189" s="100"/>
    </row>
    <row r="190" spans="1:12" x14ac:dyDescent="0.25">
      <c r="A190" s="695" t="str">
        <f t="shared" si="59"/>
        <v>Ambulance</v>
      </c>
      <c r="B190" s="620"/>
      <c r="C190" s="733"/>
      <c r="D190" s="733"/>
      <c r="E190" s="733"/>
      <c r="F190" s="733"/>
      <c r="G190" s="733"/>
      <c r="H190" s="733"/>
      <c r="I190" s="408">
        <f t="shared" si="38"/>
        <v>0</v>
      </c>
      <c r="J190" s="408" t="str">
        <f t="shared" si="39"/>
        <v/>
      </c>
      <c r="K190" s="735"/>
      <c r="L190" s="100"/>
    </row>
    <row r="191" spans="1:12" x14ac:dyDescent="0.25">
      <c r="A191" s="695" t="str">
        <f t="shared" si="59"/>
        <v>Health Services</v>
      </c>
      <c r="B191" s="620"/>
      <c r="C191" s="733"/>
      <c r="D191" s="733">
        <v>273885.02793777513</v>
      </c>
      <c r="E191" s="733">
        <v>273885.02793777513</v>
      </c>
      <c r="F191" s="733">
        <v>736204.09</v>
      </c>
      <c r="G191" s="733">
        <v>4972114.67</v>
      </c>
      <c r="H191" s="733">
        <f t="shared" ref="H191" si="78">E191/12*6</f>
        <v>136942.51396888756</v>
      </c>
      <c r="I191" s="408">
        <f t="shared" si="38"/>
        <v>4835172.1560311122</v>
      </c>
      <c r="J191" s="408">
        <f t="shared" si="39"/>
        <v>35.30804288527689</v>
      </c>
      <c r="K191" s="735">
        <f t="shared" ref="K191" si="79">E191</f>
        <v>273885.02793777513</v>
      </c>
      <c r="L191" s="100"/>
    </row>
    <row r="192" spans="1:12" x14ac:dyDescent="0.25">
      <c r="A192" s="695" t="str">
        <f t="shared" ref="A192:A223" si="80">A70</f>
        <v>Laboratory Services</v>
      </c>
      <c r="B192" s="620"/>
      <c r="C192" s="733"/>
      <c r="D192" s="733"/>
      <c r="E192" s="733"/>
      <c r="F192" s="733"/>
      <c r="G192" s="733"/>
      <c r="H192" s="733"/>
      <c r="I192" s="408">
        <f t="shared" si="38"/>
        <v>0</v>
      </c>
      <c r="J192" s="408" t="str">
        <f t="shared" si="39"/>
        <v/>
      </c>
      <c r="K192" s="735"/>
      <c r="L192" s="100"/>
    </row>
    <row r="193" spans="1:12" x14ac:dyDescent="0.25">
      <c r="A193" s="695" t="str">
        <f t="shared" si="80"/>
        <v>Food Control</v>
      </c>
      <c r="B193" s="620"/>
      <c r="C193" s="733"/>
      <c r="D193" s="733"/>
      <c r="E193" s="733"/>
      <c r="F193" s="733"/>
      <c r="G193" s="733"/>
      <c r="H193" s="733"/>
      <c r="I193" s="408">
        <f>G193-H193</f>
        <v>0</v>
      </c>
      <c r="J193" s="408" t="str">
        <f>IF(I193=0,"",I193/H193)</f>
        <v/>
      </c>
      <c r="K193" s="735"/>
      <c r="L193" s="100"/>
    </row>
    <row r="194" spans="1:12" ht="24" customHeight="1" x14ac:dyDescent="0.25">
      <c r="A194" s="695" t="str">
        <f t="shared" si="80"/>
        <v>Health Surveillance and Prevention of Communicable Diseases including immunizations</v>
      </c>
      <c r="B194" s="620"/>
      <c r="C194" s="733"/>
      <c r="D194" s="733"/>
      <c r="E194" s="733"/>
      <c r="F194" s="733"/>
      <c r="G194" s="733"/>
      <c r="H194" s="733"/>
      <c r="I194" s="408">
        <f>G194-H194</f>
        <v>0</v>
      </c>
      <c r="J194" s="408" t="str">
        <f>IF(I194=0,"",I194/H194)</f>
        <v/>
      </c>
      <c r="K194" s="735"/>
      <c r="L194" s="100"/>
    </row>
    <row r="195" spans="1:12" x14ac:dyDescent="0.25">
      <c r="A195" s="695" t="str">
        <f t="shared" si="80"/>
        <v>Vector Control</v>
      </c>
      <c r="B195" s="620"/>
      <c r="C195" s="733"/>
      <c r="D195" s="733"/>
      <c r="E195" s="733"/>
      <c r="F195" s="733"/>
      <c r="G195" s="733"/>
      <c r="H195" s="733"/>
      <c r="I195" s="408">
        <f t="shared" si="38"/>
        <v>0</v>
      </c>
      <c r="J195" s="408" t="str">
        <f t="shared" si="39"/>
        <v/>
      </c>
      <c r="K195" s="735"/>
      <c r="L195" s="100"/>
    </row>
    <row r="196" spans="1:12" x14ac:dyDescent="0.25">
      <c r="A196" s="695" t="str">
        <f t="shared" si="80"/>
        <v>Chemical Safety</v>
      </c>
      <c r="B196" s="620"/>
      <c r="C196" s="733"/>
      <c r="D196" s="733"/>
      <c r="E196" s="733"/>
      <c r="F196" s="733"/>
      <c r="G196" s="733"/>
      <c r="H196" s="733"/>
      <c r="I196" s="408">
        <f t="shared" si="38"/>
        <v>0</v>
      </c>
      <c r="J196" s="408" t="str">
        <f t="shared" si="39"/>
        <v/>
      </c>
      <c r="K196" s="735"/>
      <c r="L196" s="100"/>
    </row>
    <row r="197" spans="1:12" x14ac:dyDescent="0.25">
      <c r="A197" s="414" t="str">
        <f t="shared" si="80"/>
        <v>Economic and environmental services</v>
      </c>
      <c r="B197" s="620"/>
      <c r="C197" s="605">
        <f t="shared" ref="C197:H197" si="81">C198+C209+C214</f>
        <v>0</v>
      </c>
      <c r="D197" s="605">
        <f t="shared" si="81"/>
        <v>288173315.58344549</v>
      </c>
      <c r="E197" s="605">
        <f t="shared" si="81"/>
        <v>294295840.6175437</v>
      </c>
      <c r="F197" s="605">
        <f t="shared" si="81"/>
        <v>25606129.030000005</v>
      </c>
      <c r="G197" s="605">
        <f t="shared" si="81"/>
        <v>161397456.33000004</v>
      </c>
      <c r="H197" s="605">
        <f t="shared" si="81"/>
        <v>147147920.30877185</v>
      </c>
      <c r="I197" s="605">
        <f t="shared" si="38"/>
        <v>14249536.021228194</v>
      </c>
      <c r="J197" s="605">
        <f t="shared" si="39"/>
        <v>9.6838174751823144E-2</v>
      </c>
      <c r="K197" s="606">
        <f>K198+K209+K214</f>
        <v>294295840.6175437</v>
      </c>
      <c r="L197" s="100"/>
    </row>
    <row r="198" spans="1:12" x14ac:dyDescent="0.25">
      <c r="A198" s="607" t="str">
        <f t="shared" si="80"/>
        <v>Planning and development</v>
      </c>
      <c r="B198" s="620"/>
      <c r="C198" s="611">
        <f t="shared" ref="C198:K198" si="82">SUM(C199:C208)</f>
        <v>0</v>
      </c>
      <c r="D198" s="611">
        <f t="shared" si="82"/>
        <v>92239503.875528902</v>
      </c>
      <c r="E198" s="611">
        <f t="shared" si="82"/>
        <v>92239503.875528902</v>
      </c>
      <c r="F198" s="611">
        <f t="shared" si="82"/>
        <v>5563188.4300000006</v>
      </c>
      <c r="G198" s="611">
        <f t="shared" si="82"/>
        <v>32825065.040000007</v>
      </c>
      <c r="H198" s="611">
        <f t="shared" si="82"/>
        <v>46119751.937764451</v>
      </c>
      <c r="I198" s="611">
        <f t="shared" si="38"/>
        <v>-13294686.897764444</v>
      </c>
      <c r="J198" s="611">
        <f t="shared" si="39"/>
        <v>-0.28826449274282184</v>
      </c>
      <c r="K198" s="614">
        <f t="shared" si="82"/>
        <v>92239503.875528902</v>
      </c>
      <c r="L198" s="100"/>
    </row>
    <row r="199" spans="1:12" x14ac:dyDescent="0.25">
      <c r="A199" s="695" t="str">
        <f t="shared" si="80"/>
        <v>Billboards</v>
      </c>
      <c r="B199" s="620"/>
      <c r="C199" s="733"/>
      <c r="D199" s="733"/>
      <c r="E199" s="733"/>
      <c r="F199" s="733"/>
      <c r="G199" s="733"/>
      <c r="H199" s="733"/>
      <c r="I199" s="408">
        <f t="shared" si="38"/>
        <v>0</v>
      </c>
      <c r="J199" s="408" t="str">
        <f t="shared" si="39"/>
        <v/>
      </c>
      <c r="K199" s="735"/>
      <c r="L199" s="100"/>
    </row>
    <row r="200" spans="1:12" ht="22.5" x14ac:dyDescent="0.25">
      <c r="A200" s="695" t="str">
        <f t="shared" si="80"/>
        <v>Corporate Wide Strategic Planning (IDPs, LEDs)</v>
      </c>
      <c r="B200" s="620"/>
      <c r="C200" s="733"/>
      <c r="D200" s="733">
        <v>12848610.792359998</v>
      </c>
      <c r="E200" s="733">
        <v>12848610.792359998</v>
      </c>
      <c r="F200" s="733">
        <v>542057.34000000008</v>
      </c>
      <c r="G200" s="733">
        <v>3326870.53</v>
      </c>
      <c r="H200" s="733">
        <f t="shared" ref="H200" si="83">E200/12*6</f>
        <v>6424305.3961799992</v>
      </c>
      <c r="I200" s="408">
        <f t="shared" si="38"/>
        <v>-3097434.8661799994</v>
      </c>
      <c r="J200" s="408">
        <f t="shared" si="39"/>
        <v>-0.48214315403215213</v>
      </c>
      <c r="K200" s="735">
        <f t="shared" ref="K200" si="84">E200</f>
        <v>12848610.792359998</v>
      </c>
      <c r="L200" s="100"/>
    </row>
    <row r="201" spans="1:12" x14ac:dyDescent="0.25">
      <c r="A201" s="695" t="str">
        <f t="shared" si="80"/>
        <v>Central City Improvement District</v>
      </c>
      <c r="B201" s="620"/>
      <c r="C201" s="733"/>
      <c r="D201" s="733"/>
      <c r="E201" s="733"/>
      <c r="F201" s="733"/>
      <c r="G201" s="733"/>
      <c r="H201" s="733"/>
      <c r="I201" s="408">
        <f t="shared" si="38"/>
        <v>0</v>
      </c>
      <c r="J201" s="408" t="str">
        <f t="shared" si="39"/>
        <v/>
      </c>
      <c r="K201" s="735"/>
      <c r="L201" s="100"/>
    </row>
    <row r="202" spans="1:12" x14ac:dyDescent="0.25">
      <c r="A202" s="695" t="str">
        <f t="shared" si="80"/>
        <v>Development Facilitation</v>
      </c>
      <c r="B202" s="620"/>
      <c r="C202" s="733"/>
      <c r="D202" s="733"/>
      <c r="E202" s="733"/>
      <c r="F202" s="733"/>
      <c r="G202" s="733"/>
      <c r="H202" s="733"/>
      <c r="I202" s="408">
        <f>G202-H202</f>
        <v>0</v>
      </c>
      <c r="J202" s="408" t="str">
        <f>IF(I202=0,"",I202/H202)</f>
        <v/>
      </c>
      <c r="K202" s="735"/>
      <c r="L202" s="100"/>
    </row>
    <row r="203" spans="1:12" x14ac:dyDescent="0.25">
      <c r="A203" s="695" t="str">
        <f t="shared" si="80"/>
        <v>Economic Development/Planning</v>
      </c>
      <c r="B203" s="620"/>
      <c r="C203" s="733"/>
      <c r="D203" s="733">
        <v>12958288.606480801</v>
      </c>
      <c r="E203" s="733">
        <v>12958288.606480801</v>
      </c>
      <c r="F203" s="733">
        <v>623216.28999999992</v>
      </c>
      <c r="G203" s="733">
        <v>3888192.399999999</v>
      </c>
      <c r="H203" s="733">
        <f t="shared" ref="H203" si="85">E203/12*6</f>
        <v>6479144.3032403998</v>
      </c>
      <c r="I203" s="408">
        <f>G203-H203</f>
        <v>-2590951.9032404008</v>
      </c>
      <c r="J203" s="408">
        <f>IF(I203=0,"",I203/H203)</f>
        <v>-0.39989106307519556</v>
      </c>
      <c r="K203" s="735">
        <f t="shared" ref="K203" si="86">E203</f>
        <v>12958288.606480801</v>
      </c>
      <c r="L203" s="100"/>
    </row>
    <row r="204" spans="1:12" x14ac:dyDescent="0.25">
      <c r="A204" s="695" t="str">
        <f t="shared" si="80"/>
        <v>Regional Planning and Development</v>
      </c>
      <c r="B204" s="620"/>
      <c r="C204" s="733"/>
      <c r="D204" s="733"/>
      <c r="E204" s="733"/>
      <c r="F204" s="733"/>
      <c r="G204" s="733"/>
      <c r="H204" s="733"/>
      <c r="I204" s="408">
        <f>G204-H204</f>
        <v>0</v>
      </c>
      <c r="J204" s="408" t="str">
        <f>IF(I204=0,"",I204/H204)</f>
        <v/>
      </c>
      <c r="K204" s="735"/>
      <c r="L204" s="100"/>
    </row>
    <row r="205" spans="1:12" ht="22.5" x14ac:dyDescent="0.25">
      <c r="A205" s="695" t="str">
        <f t="shared" si="80"/>
        <v>Town Planning, Building Regulations and Enforcement, and City Engineer</v>
      </c>
      <c r="B205" s="620"/>
      <c r="C205" s="733"/>
      <c r="D205" s="733">
        <v>66432604.476688094</v>
      </c>
      <c r="E205" s="733">
        <v>66432604.476688094</v>
      </c>
      <c r="F205" s="733">
        <v>4397914.8000000007</v>
      </c>
      <c r="G205" s="733">
        <v>25610002.110000007</v>
      </c>
      <c r="H205" s="733">
        <f t="shared" ref="H205" si="87">E205/12*6</f>
        <v>33216302.238344047</v>
      </c>
      <c r="I205" s="408">
        <f>G205-H205</f>
        <v>-7606300.1283440404</v>
      </c>
      <c r="J205" s="408">
        <f>IF(I205=0,"",I205/H205)</f>
        <v>-0.22899298283610639</v>
      </c>
      <c r="K205" s="735">
        <f t="shared" ref="K205" si="88">E205</f>
        <v>66432604.476688094</v>
      </c>
      <c r="L205" s="100"/>
    </row>
    <row r="206" spans="1:12" x14ac:dyDescent="0.25">
      <c r="A206" s="695" t="str">
        <f t="shared" si="80"/>
        <v>Project Management Unit</v>
      </c>
      <c r="B206" s="620"/>
      <c r="C206" s="733"/>
      <c r="D206" s="733"/>
      <c r="E206" s="733"/>
      <c r="F206" s="733"/>
      <c r="G206" s="733"/>
      <c r="H206" s="733"/>
      <c r="I206" s="408">
        <f>G206-H206</f>
        <v>0</v>
      </c>
      <c r="J206" s="408" t="str">
        <f>IF(I206=0,"",I206/H206)</f>
        <v/>
      </c>
      <c r="K206" s="735"/>
      <c r="L206" s="100"/>
    </row>
    <row r="207" spans="1:12" x14ac:dyDescent="0.25">
      <c r="A207" s="695" t="str">
        <f t="shared" si="80"/>
        <v>Provincial Planning</v>
      </c>
      <c r="B207" s="620"/>
      <c r="C207" s="733"/>
      <c r="D207" s="733"/>
      <c r="E207" s="733"/>
      <c r="F207" s="733"/>
      <c r="G207" s="733"/>
      <c r="H207" s="733"/>
      <c r="I207" s="408">
        <f t="shared" si="38"/>
        <v>0</v>
      </c>
      <c r="J207" s="408" t="str">
        <f t="shared" si="39"/>
        <v/>
      </c>
      <c r="K207" s="735"/>
      <c r="L207" s="100"/>
    </row>
    <row r="208" spans="1:12" x14ac:dyDescent="0.25">
      <c r="A208" s="695" t="str">
        <f t="shared" si="80"/>
        <v>Support to Local Municipalities</v>
      </c>
      <c r="B208" s="620"/>
      <c r="C208" s="733"/>
      <c r="D208" s="733"/>
      <c r="E208" s="733"/>
      <c r="F208" s="733"/>
      <c r="G208" s="733"/>
      <c r="H208" s="733"/>
      <c r="I208" s="408">
        <f t="shared" si="38"/>
        <v>0</v>
      </c>
      <c r="J208" s="408" t="str">
        <f t="shared" si="39"/>
        <v/>
      </c>
      <c r="K208" s="735"/>
      <c r="L208" s="100"/>
    </row>
    <row r="209" spans="1:12" x14ac:dyDescent="0.25">
      <c r="A209" s="607" t="str">
        <f t="shared" si="80"/>
        <v>Road transport</v>
      </c>
      <c r="B209" s="620"/>
      <c r="C209" s="611">
        <f t="shared" ref="C209:H209" si="89">SUM(C210:C213)</f>
        <v>0</v>
      </c>
      <c r="D209" s="611">
        <f t="shared" si="89"/>
        <v>171068986.74871668</v>
      </c>
      <c r="E209" s="611">
        <f t="shared" si="89"/>
        <v>177191511.78281486</v>
      </c>
      <c r="F209" s="611">
        <f t="shared" si="89"/>
        <v>18465084.010000005</v>
      </c>
      <c r="G209" s="611">
        <f t="shared" si="89"/>
        <v>118184705.76000004</v>
      </c>
      <c r="H209" s="611">
        <f t="shared" si="89"/>
        <v>88595755.89140743</v>
      </c>
      <c r="I209" s="611">
        <f t="shared" si="38"/>
        <v>29588949.868592605</v>
      </c>
      <c r="J209" s="611">
        <f t="shared" si="39"/>
        <v>0.33397705760149538</v>
      </c>
      <c r="K209" s="614">
        <f>SUM(K210:K213)</f>
        <v>177191511.78281486</v>
      </c>
      <c r="L209" s="100"/>
    </row>
    <row r="210" spans="1:12" x14ac:dyDescent="0.25">
      <c r="A210" s="695" t="str">
        <f t="shared" si="80"/>
        <v>Public Transport</v>
      </c>
      <c r="B210" s="620"/>
      <c r="C210" s="733"/>
      <c r="D210" s="733">
        <v>6112737.5899952119</v>
      </c>
      <c r="E210" s="733">
        <v>12235262.624093361</v>
      </c>
      <c r="F210" s="733">
        <v>619004.92000000027</v>
      </c>
      <c r="G210" s="733">
        <v>3458132.53</v>
      </c>
      <c r="H210" s="733">
        <f t="shared" ref="H210:H213" si="90">E210/12*6</f>
        <v>6117631.3120466806</v>
      </c>
      <c r="I210" s="408">
        <f t="shared" si="38"/>
        <v>-2659498.7820466808</v>
      </c>
      <c r="J210" s="408">
        <f t="shared" si="39"/>
        <v>-0.43472688143361382</v>
      </c>
      <c r="K210" s="735">
        <f t="shared" ref="K210:K213" si="91">E210</f>
        <v>12235262.624093361</v>
      </c>
      <c r="L210" s="100"/>
    </row>
    <row r="211" spans="1:12" x14ac:dyDescent="0.25">
      <c r="A211" s="695" t="str">
        <f t="shared" si="80"/>
        <v>Road and Traffic Regulation</v>
      </c>
      <c r="B211" s="620"/>
      <c r="C211" s="733"/>
      <c r="D211" s="733">
        <v>75071897.514813796</v>
      </c>
      <c r="E211" s="733">
        <v>75071897.514813796</v>
      </c>
      <c r="F211" s="733"/>
      <c r="G211" s="733"/>
      <c r="H211" s="733">
        <f t="shared" si="90"/>
        <v>37535948.757406898</v>
      </c>
      <c r="I211" s="408">
        <f>G211-H211</f>
        <v>-37535948.757406898</v>
      </c>
      <c r="J211" s="408">
        <f>IF(I211=0,"",I211/H211)</f>
        <v>-1</v>
      </c>
      <c r="K211" s="735">
        <f t="shared" si="91"/>
        <v>75071897.514813796</v>
      </c>
      <c r="L211" s="100"/>
    </row>
    <row r="212" spans="1:12" x14ac:dyDescent="0.25">
      <c r="A212" s="695" t="str">
        <f t="shared" si="80"/>
        <v>Roads</v>
      </c>
      <c r="B212" s="620"/>
      <c r="C212" s="733"/>
      <c r="D212" s="733">
        <v>86766270.60115768</v>
      </c>
      <c r="E212" s="733">
        <v>86766270.60115768</v>
      </c>
      <c r="F212" s="733">
        <v>17622567.750000004</v>
      </c>
      <c r="G212" s="733">
        <v>113743025.11000003</v>
      </c>
      <c r="H212" s="733">
        <f t="shared" si="90"/>
        <v>43383135.30057884</v>
      </c>
      <c r="I212" s="408">
        <f t="shared" si="38"/>
        <v>70359889.809421182</v>
      </c>
      <c r="J212" s="408">
        <f t="shared" si="39"/>
        <v>1.6218258390486222</v>
      </c>
      <c r="K212" s="735">
        <f t="shared" si="91"/>
        <v>86766270.60115768</v>
      </c>
      <c r="L212" s="100"/>
    </row>
    <row r="213" spans="1:12" x14ac:dyDescent="0.25">
      <c r="A213" s="695" t="str">
        <f t="shared" si="80"/>
        <v>Taxi Ranks</v>
      </c>
      <c r="B213" s="620"/>
      <c r="C213" s="733"/>
      <c r="D213" s="733">
        <v>3118081.04275</v>
      </c>
      <c r="E213" s="733">
        <v>3118081.04275</v>
      </c>
      <c r="F213" s="733">
        <v>223511.34000000003</v>
      </c>
      <c r="G213" s="733">
        <v>983548.12</v>
      </c>
      <c r="H213" s="733">
        <f t="shared" si="90"/>
        <v>1559040.521375</v>
      </c>
      <c r="I213" s="408">
        <f t="shared" si="38"/>
        <v>-575492.40137500002</v>
      </c>
      <c r="J213" s="408">
        <f t="shared" si="39"/>
        <v>-0.36913242053993756</v>
      </c>
      <c r="K213" s="735">
        <f t="shared" si="91"/>
        <v>3118081.04275</v>
      </c>
      <c r="L213" s="100"/>
    </row>
    <row r="214" spans="1:12" x14ac:dyDescent="0.25">
      <c r="A214" s="607" t="str">
        <f t="shared" si="80"/>
        <v>Environmental protection</v>
      </c>
      <c r="B214" s="620"/>
      <c r="C214" s="611">
        <f t="shared" ref="C214:K214" si="92">SUM(C215:C220)</f>
        <v>0</v>
      </c>
      <c r="D214" s="611">
        <f t="shared" si="92"/>
        <v>24864824.959199883</v>
      </c>
      <c r="E214" s="611">
        <f t="shared" si="92"/>
        <v>24864824.959199883</v>
      </c>
      <c r="F214" s="611">
        <f t="shared" si="92"/>
        <v>1577856.5899999999</v>
      </c>
      <c r="G214" s="611">
        <f t="shared" si="92"/>
        <v>10387685.530000001</v>
      </c>
      <c r="H214" s="611">
        <f t="shared" si="92"/>
        <v>12432412.479599942</v>
      </c>
      <c r="I214" s="611">
        <f t="shared" si="38"/>
        <v>-2044726.9495999403</v>
      </c>
      <c r="J214" s="611">
        <f t="shared" si="39"/>
        <v>-0.16446743163928043</v>
      </c>
      <c r="K214" s="614">
        <f t="shared" si="92"/>
        <v>24864824.959199883</v>
      </c>
      <c r="L214" s="100"/>
    </row>
    <row r="215" spans="1:12" x14ac:dyDescent="0.25">
      <c r="A215" s="695" t="str">
        <f t="shared" si="80"/>
        <v>Biodiversity and Landscape</v>
      </c>
      <c r="B215" s="620"/>
      <c r="C215" s="733"/>
      <c r="D215" s="733"/>
      <c r="E215" s="733"/>
      <c r="F215" s="733"/>
      <c r="G215" s="733"/>
      <c r="H215" s="733"/>
      <c r="I215" s="408">
        <f t="shared" si="38"/>
        <v>0</v>
      </c>
      <c r="J215" s="408" t="str">
        <f t="shared" si="39"/>
        <v/>
      </c>
      <c r="K215" s="735"/>
      <c r="L215" s="100"/>
    </row>
    <row r="216" spans="1:12" x14ac:dyDescent="0.25">
      <c r="A216" s="695" t="str">
        <f t="shared" si="80"/>
        <v>Coastal Protection</v>
      </c>
      <c r="B216" s="620"/>
      <c r="C216" s="733"/>
      <c r="D216" s="733"/>
      <c r="E216" s="733"/>
      <c r="F216" s="733"/>
      <c r="G216" s="733"/>
      <c r="H216" s="733"/>
      <c r="I216" s="408">
        <f t="shared" si="38"/>
        <v>0</v>
      </c>
      <c r="J216" s="408" t="str">
        <f t="shared" si="39"/>
        <v/>
      </c>
      <c r="K216" s="735"/>
      <c r="L216" s="100"/>
    </row>
    <row r="217" spans="1:12" x14ac:dyDescent="0.25">
      <c r="A217" s="695" t="str">
        <f t="shared" si="80"/>
        <v>Indigenous Forests</v>
      </c>
      <c r="B217" s="620"/>
      <c r="C217" s="733"/>
      <c r="D217" s="733"/>
      <c r="E217" s="733"/>
      <c r="F217" s="733"/>
      <c r="G217" s="733"/>
      <c r="H217" s="733"/>
      <c r="I217" s="408">
        <f t="shared" si="38"/>
        <v>0</v>
      </c>
      <c r="J217" s="408" t="str">
        <f t="shared" si="39"/>
        <v/>
      </c>
      <c r="K217" s="735"/>
      <c r="L217" s="100"/>
    </row>
    <row r="218" spans="1:12" x14ac:dyDescent="0.25">
      <c r="A218" s="695" t="str">
        <f t="shared" si="80"/>
        <v>Nature Conservation</v>
      </c>
      <c r="B218" s="620"/>
      <c r="C218" s="733"/>
      <c r="D218" s="733">
        <v>7953351.9763347059</v>
      </c>
      <c r="E218" s="733">
        <v>7953351.9763347059</v>
      </c>
      <c r="F218" s="733">
        <v>341296.03</v>
      </c>
      <c r="G218" s="733">
        <v>2191496.1</v>
      </c>
      <c r="H218" s="733">
        <f t="shared" ref="H218:H219" si="93">E218/12*6</f>
        <v>3976675.988167353</v>
      </c>
      <c r="I218" s="408">
        <f>G218-H218</f>
        <v>-1785179.8881673529</v>
      </c>
      <c r="J218" s="408">
        <f>IF(I218=0,"",I218/H218)</f>
        <v>-0.44891258263916323</v>
      </c>
      <c r="K218" s="735">
        <f t="shared" ref="K218:K219" si="94">E218</f>
        <v>7953351.9763347059</v>
      </c>
      <c r="L218" s="100"/>
    </row>
    <row r="219" spans="1:12" x14ac:dyDescent="0.25">
      <c r="A219" s="695" t="str">
        <f t="shared" si="80"/>
        <v>Pollution Control</v>
      </c>
      <c r="B219" s="620"/>
      <c r="C219" s="733"/>
      <c r="D219" s="733">
        <v>16911472.982865177</v>
      </c>
      <c r="E219" s="733">
        <v>16911472.982865177</v>
      </c>
      <c r="F219" s="733">
        <v>1236560.5599999998</v>
      </c>
      <c r="G219" s="733">
        <v>8196189.4300000016</v>
      </c>
      <c r="H219" s="733">
        <f t="shared" si="93"/>
        <v>8455736.4914325885</v>
      </c>
      <c r="I219" s="408">
        <f>G219-H219</f>
        <v>-259547.06143258698</v>
      </c>
      <c r="J219" s="408">
        <f>IF(I219=0,"",I219/H219)</f>
        <v>-3.0694790654316378E-2</v>
      </c>
      <c r="K219" s="735">
        <f t="shared" si="94"/>
        <v>16911472.982865177</v>
      </c>
      <c r="L219" s="100"/>
    </row>
    <row r="220" spans="1:12" x14ac:dyDescent="0.25">
      <c r="A220" s="695" t="str">
        <f t="shared" si="80"/>
        <v>Soil Conservation</v>
      </c>
      <c r="B220" s="620"/>
      <c r="C220" s="733"/>
      <c r="D220" s="733">
        <v>0</v>
      </c>
      <c r="E220" s="733"/>
      <c r="F220" s="733"/>
      <c r="G220" s="733"/>
      <c r="H220" s="733"/>
      <c r="I220" s="408">
        <f t="shared" si="38"/>
        <v>0</v>
      </c>
      <c r="J220" s="408" t="str">
        <f t="shared" si="39"/>
        <v/>
      </c>
      <c r="K220" s="735"/>
      <c r="L220" s="100"/>
    </row>
    <row r="221" spans="1:12" x14ac:dyDescent="0.25">
      <c r="A221" s="414" t="str">
        <f t="shared" si="80"/>
        <v>Trading services</v>
      </c>
      <c r="B221" s="620"/>
      <c r="C221" s="605">
        <f>C222+C226+C230+C235</f>
        <v>0</v>
      </c>
      <c r="D221" s="605">
        <f t="shared" ref="D221:I221" si="95">D222+D226+D230+D235</f>
        <v>3353046546.6774907</v>
      </c>
      <c r="E221" s="605">
        <f t="shared" si="95"/>
        <v>3353046546.6774907</v>
      </c>
      <c r="F221" s="605">
        <f t="shared" si="95"/>
        <v>260639426.47999999</v>
      </c>
      <c r="G221" s="605">
        <f t="shared" si="95"/>
        <v>1811195745.2499983</v>
      </c>
      <c r="H221" s="605">
        <f t="shared" si="95"/>
        <v>1676523273.3387454</v>
      </c>
      <c r="I221" s="605">
        <f t="shared" si="95"/>
        <v>134672471.91125324</v>
      </c>
      <c r="J221" s="605">
        <f t="shared" si="39"/>
        <v>8.0328423740314139E-2</v>
      </c>
      <c r="K221" s="606">
        <f>K222+K226+K230+K235</f>
        <v>3353046546.6774907</v>
      </c>
      <c r="L221" s="100"/>
    </row>
    <row r="222" spans="1:12" x14ac:dyDescent="0.25">
      <c r="A222" s="607" t="str">
        <f t="shared" si="80"/>
        <v>Energy sources</v>
      </c>
      <c r="B222" s="620"/>
      <c r="C222" s="611">
        <f t="shared" ref="C222:K222" si="96">SUM(C223:C225)</f>
        <v>0</v>
      </c>
      <c r="D222" s="611">
        <f t="shared" si="96"/>
        <v>2291332272.7237678</v>
      </c>
      <c r="E222" s="611">
        <f t="shared" si="96"/>
        <v>2291332272.7237678</v>
      </c>
      <c r="F222" s="611">
        <f t="shared" si="96"/>
        <v>153978577.03000003</v>
      </c>
      <c r="G222" s="611">
        <f t="shared" si="96"/>
        <v>1188896761.8999987</v>
      </c>
      <c r="H222" s="611">
        <f t="shared" si="96"/>
        <v>1145666136.3618839</v>
      </c>
      <c r="I222" s="611">
        <f t="shared" si="38"/>
        <v>43230625.538114786</v>
      </c>
      <c r="J222" s="611">
        <f t="shared" si="39"/>
        <v>3.7734051977302611E-2</v>
      </c>
      <c r="K222" s="614">
        <f t="shared" si="96"/>
        <v>2291332272.7237678</v>
      </c>
      <c r="L222" s="100"/>
    </row>
    <row r="223" spans="1:12" x14ac:dyDescent="0.25">
      <c r="A223" s="695" t="str">
        <f t="shared" si="80"/>
        <v xml:space="preserve">Electricity </v>
      </c>
      <c r="B223" s="620"/>
      <c r="C223" s="733"/>
      <c r="D223" s="733">
        <v>2270836245.4232864</v>
      </c>
      <c r="E223" s="733">
        <v>2270836245.4232864</v>
      </c>
      <c r="F223" s="733">
        <v>150687144.52000004</v>
      </c>
      <c r="G223" s="733">
        <v>1173264701.3799987</v>
      </c>
      <c r="H223" s="733">
        <f t="shared" ref="H223:H224" si="97">E223/12*6</f>
        <v>1135418122.7116432</v>
      </c>
      <c r="I223" s="408">
        <f t="shared" si="38"/>
        <v>37846578.668355465</v>
      </c>
      <c r="J223" s="408">
        <f t="shared" si="39"/>
        <v>3.3332723788104604E-2</v>
      </c>
      <c r="K223" s="735">
        <f t="shared" ref="K223:K224" si="98">E223</f>
        <v>2270836245.4232864</v>
      </c>
      <c r="L223" s="100"/>
    </row>
    <row r="224" spans="1:12" x14ac:dyDescent="0.25">
      <c r="A224" s="695" t="str">
        <f t="shared" ref="A224:A246" si="99">A102</f>
        <v>Street Lighting and Signal Systems</v>
      </c>
      <c r="B224" s="620"/>
      <c r="C224" s="733"/>
      <c r="D224" s="733">
        <v>20496027.300481234</v>
      </c>
      <c r="E224" s="733">
        <v>20496027.300481234</v>
      </c>
      <c r="F224" s="733">
        <v>3291432.51</v>
      </c>
      <c r="G224" s="733">
        <v>15632060.520000003</v>
      </c>
      <c r="H224" s="733">
        <f t="shared" si="97"/>
        <v>10248013.650240617</v>
      </c>
      <c r="I224" s="408">
        <f>G224-H224</f>
        <v>5384046.8697593864</v>
      </c>
      <c r="J224" s="408">
        <f>IF(I224=0,"",I224/H224)</f>
        <v>0.52537467781700042</v>
      </c>
      <c r="K224" s="735">
        <f t="shared" si="98"/>
        <v>20496027.300481234</v>
      </c>
      <c r="L224" s="100"/>
    </row>
    <row r="225" spans="1:12" x14ac:dyDescent="0.25">
      <c r="A225" s="695" t="str">
        <f t="shared" si="99"/>
        <v>Nonelectric Energy</v>
      </c>
      <c r="B225" s="620"/>
      <c r="C225" s="733"/>
      <c r="D225" s="733">
        <v>0</v>
      </c>
      <c r="E225" s="733"/>
      <c r="F225" s="733"/>
      <c r="G225" s="733"/>
      <c r="H225" s="733"/>
      <c r="I225" s="408">
        <f t="shared" si="38"/>
        <v>0</v>
      </c>
      <c r="J225" s="408" t="str">
        <f t="shared" si="39"/>
        <v/>
      </c>
      <c r="K225" s="735"/>
      <c r="L225" s="100"/>
    </row>
    <row r="226" spans="1:12" x14ac:dyDescent="0.25">
      <c r="A226" s="607" t="str">
        <f t="shared" si="99"/>
        <v>Water management</v>
      </c>
      <c r="B226" s="620"/>
      <c r="C226" s="611">
        <f t="shared" ref="C226:K226" si="100">SUM(C227:C229)</f>
        <v>0</v>
      </c>
      <c r="D226" s="611">
        <f t="shared" si="100"/>
        <v>0</v>
      </c>
      <c r="E226" s="611">
        <f t="shared" si="100"/>
        <v>0</v>
      </c>
      <c r="F226" s="611">
        <f t="shared" si="100"/>
        <v>77308332.599999964</v>
      </c>
      <c r="G226" s="611">
        <f t="shared" si="100"/>
        <v>442554699.89999992</v>
      </c>
      <c r="H226" s="611">
        <f t="shared" si="100"/>
        <v>0</v>
      </c>
      <c r="I226" s="611">
        <f t="shared" si="38"/>
        <v>442554699.89999992</v>
      </c>
      <c r="J226" s="611" t="e">
        <f t="shared" si="39"/>
        <v>#DIV/0!</v>
      </c>
      <c r="K226" s="614">
        <f t="shared" si="100"/>
        <v>0</v>
      </c>
      <c r="L226" s="100"/>
    </row>
    <row r="227" spans="1:12" x14ac:dyDescent="0.25">
      <c r="A227" s="695" t="str">
        <f t="shared" si="99"/>
        <v>Water Treatment</v>
      </c>
      <c r="B227" s="620"/>
      <c r="C227" s="733"/>
      <c r="D227" s="733"/>
      <c r="E227" s="733"/>
      <c r="F227" s="733"/>
      <c r="G227" s="733"/>
      <c r="H227" s="733"/>
      <c r="I227" s="408">
        <f t="shared" si="38"/>
        <v>0</v>
      </c>
      <c r="J227" s="408" t="str">
        <f t="shared" si="39"/>
        <v/>
      </c>
      <c r="K227" s="735"/>
      <c r="L227" s="100"/>
    </row>
    <row r="228" spans="1:12" x14ac:dyDescent="0.25">
      <c r="A228" s="695" t="str">
        <f t="shared" si="99"/>
        <v>Water Distribution</v>
      </c>
      <c r="B228" s="620"/>
      <c r="C228" s="733"/>
      <c r="D228" s="733"/>
      <c r="E228" s="733"/>
      <c r="F228" s="733">
        <v>77308332.599999964</v>
      </c>
      <c r="G228" s="733">
        <v>442554699.89999992</v>
      </c>
      <c r="H228" s="733"/>
      <c r="I228" s="408">
        <f>G228-H228</f>
        <v>442554699.89999992</v>
      </c>
      <c r="J228" s="408" t="e">
        <f>IF(I228=0,"",I228/H228)</f>
        <v>#DIV/0!</v>
      </c>
      <c r="K228" s="735"/>
      <c r="L228" s="100"/>
    </row>
    <row r="229" spans="1:12" x14ac:dyDescent="0.25">
      <c r="A229" s="695" t="str">
        <f t="shared" si="99"/>
        <v>Water Storage</v>
      </c>
      <c r="B229" s="620"/>
      <c r="C229" s="733"/>
      <c r="D229" s="733"/>
      <c r="E229" s="733"/>
      <c r="F229" s="733"/>
      <c r="G229" s="733"/>
      <c r="H229" s="733"/>
      <c r="I229" s="408">
        <f t="shared" si="38"/>
        <v>0</v>
      </c>
      <c r="J229" s="408" t="str">
        <f t="shared" si="39"/>
        <v/>
      </c>
      <c r="K229" s="735"/>
      <c r="L229" s="100"/>
    </row>
    <row r="230" spans="1:12" x14ac:dyDescent="0.25">
      <c r="A230" s="607" t="str">
        <f t="shared" si="99"/>
        <v>Waste water management</v>
      </c>
      <c r="B230" s="620"/>
      <c r="C230" s="611">
        <f t="shared" ref="C230:K230" si="101">SUM(C231:C234)</f>
        <v>0</v>
      </c>
      <c r="D230" s="611">
        <f t="shared" si="101"/>
        <v>931929869.0260967</v>
      </c>
      <c r="E230" s="611">
        <f t="shared" si="101"/>
        <v>931929869.0260967</v>
      </c>
      <c r="F230" s="611">
        <f t="shared" si="101"/>
        <v>20637516.159999996</v>
      </c>
      <c r="G230" s="611">
        <f t="shared" si="101"/>
        <v>119668851.59999998</v>
      </c>
      <c r="H230" s="611">
        <f t="shared" si="101"/>
        <v>465964934.51304835</v>
      </c>
      <c r="I230" s="611">
        <f t="shared" si="38"/>
        <v>-346296082.91304839</v>
      </c>
      <c r="J230" s="611">
        <f t="shared" si="39"/>
        <v>-0.74318056416614564</v>
      </c>
      <c r="K230" s="614">
        <f t="shared" si="101"/>
        <v>931929869.0260967</v>
      </c>
      <c r="L230" s="100"/>
    </row>
    <row r="231" spans="1:12" x14ac:dyDescent="0.25">
      <c r="A231" s="695" t="str">
        <f t="shared" si="99"/>
        <v>Public Toilets</v>
      </c>
      <c r="B231" s="620"/>
      <c r="C231" s="733"/>
      <c r="D231" s="733">
        <v>1325140.728374806</v>
      </c>
      <c r="E231" s="733">
        <v>1325140.728374806</v>
      </c>
      <c r="F231" s="733">
        <v>347751.69000000006</v>
      </c>
      <c r="G231" s="733">
        <v>1090731.6599999999</v>
      </c>
      <c r="H231" s="733">
        <f t="shared" ref="H231:H234" si="102">E231/12*6</f>
        <v>662570.364187403</v>
      </c>
      <c r="I231" s="408">
        <f t="shared" si="38"/>
        <v>428161.29581259692</v>
      </c>
      <c r="J231" s="408">
        <f t="shared" si="39"/>
        <v>0.64621256692895901</v>
      </c>
      <c r="K231" s="735">
        <f t="shared" ref="K231:K234" si="103">E231</f>
        <v>1325140.728374806</v>
      </c>
      <c r="L231" s="100"/>
    </row>
    <row r="232" spans="1:12" x14ac:dyDescent="0.25">
      <c r="A232" s="695" t="str">
        <f t="shared" si="99"/>
        <v>Sewerage</v>
      </c>
      <c r="B232" s="620"/>
      <c r="C232" s="733"/>
      <c r="D232" s="733">
        <v>225241153.38453153</v>
      </c>
      <c r="E232" s="733">
        <v>225241153.38453153</v>
      </c>
      <c r="F232" s="733">
        <v>18284925.319999997</v>
      </c>
      <c r="G232" s="733">
        <v>104564949.76999998</v>
      </c>
      <c r="H232" s="733">
        <f t="shared" si="102"/>
        <v>112620576.69226576</v>
      </c>
      <c r="I232" s="408">
        <f t="shared" si="38"/>
        <v>-8055626.922265783</v>
      </c>
      <c r="J232" s="408">
        <f t="shared" si="39"/>
        <v>-7.1528908471829952E-2</v>
      </c>
      <c r="K232" s="735">
        <f t="shared" si="103"/>
        <v>225241153.38453153</v>
      </c>
      <c r="L232" s="100"/>
    </row>
    <row r="233" spans="1:12" x14ac:dyDescent="0.25">
      <c r="A233" s="695" t="str">
        <f t="shared" si="99"/>
        <v>Storm Water Management</v>
      </c>
      <c r="B233" s="620"/>
      <c r="C233" s="733"/>
      <c r="D233" s="733">
        <v>560143.7006000001</v>
      </c>
      <c r="E233" s="733">
        <v>560143.7006000001</v>
      </c>
      <c r="F233" s="733">
        <v>2004839.1499999997</v>
      </c>
      <c r="G233" s="733">
        <v>14013170.169999996</v>
      </c>
      <c r="H233" s="733">
        <f t="shared" si="102"/>
        <v>280071.85030000005</v>
      </c>
      <c r="I233" s="408">
        <f>G233-H233</f>
        <v>13733098.319699995</v>
      </c>
      <c r="J233" s="408">
        <f>IF(I233=0,"",I233/H233)</f>
        <v>49.034197135448402</v>
      </c>
      <c r="K233" s="735">
        <f t="shared" si="103"/>
        <v>560143.7006000001</v>
      </c>
      <c r="L233" s="100"/>
    </row>
    <row r="234" spans="1:12" x14ac:dyDescent="0.25">
      <c r="A234" s="695" t="str">
        <f t="shared" si="99"/>
        <v>Waste Water Treatment</v>
      </c>
      <c r="B234" s="620"/>
      <c r="C234" s="733"/>
      <c r="D234" s="733">
        <v>704803431.21259034</v>
      </c>
      <c r="E234" s="733">
        <v>704803431.21259034</v>
      </c>
      <c r="F234" s="733"/>
      <c r="G234" s="733"/>
      <c r="H234" s="733">
        <f t="shared" si="102"/>
        <v>352401715.60629517</v>
      </c>
      <c r="I234" s="408">
        <f t="shared" si="38"/>
        <v>-352401715.60629517</v>
      </c>
      <c r="J234" s="408">
        <f t="shared" si="39"/>
        <v>-1</v>
      </c>
      <c r="K234" s="735">
        <f t="shared" si="103"/>
        <v>704803431.21259034</v>
      </c>
      <c r="L234" s="100"/>
    </row>
    <row r="235" spans="1:12" x14ac:dyDescent="0.25">
      <c r="A235" s="607" t="str">
        <f t="shared" si="99"/>
        <v>Waste management</v>
      </c>
      <c r="B235" s="620"/>
      <c r="C235" s="611">
        <f t="shared" ref="C235:H235" si="104">SUM(C236:C239)</f>
        <v>0</v>
      </c>
      <c r="D235" s="611">
        <f t="shared" si="104"/>
        <v>129784404.92762612</v>
      </c>
      <c r="E235" s="611">
        <f t="shared" si="104"/>
        <v>129784404.92762612</v>
      </c>
      <c r="F235" s="611">
        <f t="shared" si="104"/>
        <v>8715000.6899999995</v>
      </c>
      <c r="G235" s="611">
        <f t="shared" si="104"/>
        <v>60075431.849999979</v>
      </c>
      <c r="H235" s="611">
        <f t="shared" si="104"/>
        <v>64892202.463813059</v>
      </c>
      <c r="I235" s="611">
        <f t="shared" si="38"/>
        <v>-4816770.6138130799</v>
      </c>
      <c r="J235" s="611">
        <f t="shared" si="39"/>
        <v>-7.422726353754347E-2</v>
      </c>
      <c r="K235" s="611">
        <f>SUM(K236:K239)</f>
        <v>129784404.92762612</v>
      </c>
      <c r="L235" s="100"/>
    </row>
    <row r="236" spans="1:12" x14ac:dyDescent="0.25">
      <c r="A236" s="695" t="str">
        <f t="shared" si="99"/>
        <v>Recycling</v>
      </c>
      <c r="B236" s="620"/>
      <c r="C236" s="733"/>
      <c r="D236" s="733"/>
      <c r="E236" s="733"/>
      <c r="F236" s="733"/>
      <c r="G236" s="733"/>
      <c r="H236" s="733"/>
      <c r="I236" s="408">
        <f>G236-H236</f>
        <v>0</v>
      </c>
      <c r="J236" s="408" t="str">
        <f>IF(I236=0,"",I236/H236)</f>
        <v/>
      </c>
      <c r="K236" s="735"/>
      <c r="L236" s="100"/>
    </row>
    <row r="237" spans="1:12" x14ac:dyDescent="0.25">
      <c r="A237" s="695" t="str">
        <f t="shared" si="99"/>
        <v>Solid Waste Disposal (Landfill Sites)</v>
      </c>
      <c r="B237" s="620"/>
      <c r="C237" s="733"/>
      <c r="D237" s="733">
        <v>13353688.704158884</v>
      </c>
      <c r="E237" s="733">
        <v>13353688.704158884</v>
      </c>
      <c r="F237" s="733">
        <v>179207.26999999996</v>
      </c>
      <c r="G237" s="733">
        <v>2371781.5799999996</v>
      </c>
      <c r="H237" s="733">
        <f t="shared" ref="H237:H238" si="105">E237/12*6</f>
        <v>6676844.3520794418</v>
      </c>
      <c r="I237" s="408">
        <f>G237-H237</f>
        <v>-4305062.7720794417</v>
      </c>
      <c r="J237" s="408">
        <f>IF(I237=0,"",I237/H237)</f>
        <v>-0.64477506814108521</v>
      </c>
      <c r="K237" s="735">
        <f t="shared" ref="K237:K238" si="106">E237</f>
        <v>13353688.704158884</v>
      </c>
      <c r="L237" s="100"/>
    </row>
    <row r="238" spans="1:12" x14ac:dyDescent="0.25">
      <c r="A238" s="695" t="str">
        <f t="shared" si="99"/>
        <v>Solid Waste Removal</v>
      </c>
      <c r="B238" s="620"/>
      <c r="C238" s="733"/>
      <c r="D238" s="733">
        <v>116430716.22346723</v>
      </c>
      <c r="E238" s="733">
        <v>116430716.22346723</v>
      </c>
      <c r="F238" s="733">
        <v>8535793.4199999999</v>
      </c>
      <c r="G238" s="733">
        <v>57703650.269999981</v>
      </c>
      <c r="H238" s="733">
        <f t="shared" si="105"/>
        <v>58215358.111733615</v>
      </c>
      <c r="I238" s="408">
        <f>G238-H238</f>
        <v>-511707.84173363447</v>
      </c>
      <c r="J238" s="408">
        <f>IF(I238=0,"",I238/H238)</f>
        <v>-8.7899114311296659E-3</v>
      </c>
      <c r="K238" s="735">
        <f t="shared" si="106"/>
        <v>116430716.22346723</v>
      </c>
      <c r="L238" s="100"/>
    </row>
    <row r="239" spans="1:12" x14ac:dyDescent="0.25">
      <c r="A239" s="695" t="str">
        <f t="shared" si="99"/>
        <v>Street Cleaning</v>
      </c>
      <c r="B239" s="415"/>
      <c r="C239" s="733"/>
      <c r="D239" s="733"/>
      <c r="E239" s="733"/>
      <c r="F239" s="733"/>
      <c r="G239" s="733"/>
      <c r="H239" s="733"/>
      <c r="I239" s="408">
        <f t="shared" si="38"/>
        <v>0</v>
      </c>
      <c r="J239" s="408" t="str">
        <f t="shared" si="39"/>
        <v/>
      </c>
      <c r="K239" s="735"/>
      <c r="L239" s="100"/>
    </row>
    <row r="240" spans="1:12" x14ac:dyDescent="0.25">
      <c r="A240" s="414" t="str">
        <f t="shared" si="99"/>
        <v>Other</v>
      </c>
      <c r="B240" s="415"/>
      <c r="C240" s="611">
        <f t="shared" ref="C240:K240" si="107">SUM(C241:C246)</f>
        <v>0</v>
      </c>
      <c r="D240" s="611">
        <f t="shared" si="107"/>
        <v>81300979.882271051</v>
      </c>
      <c r="E240" s="611">
        <f t="shared" si="107"/>
        <v>81300979.882271051</v>
      </c>
      <c r="F240" s="611">
        <f t="shared" si="107"/>
        <v>4441643.6599999992</v>
      </c>
      <c r="G240" s="611">
        <f t="shared" si="107"/>
        <v>29901448.869999994</v>
      </c>
      <c r="H240" s="611">
        <f t="shared" si="107"/>
        <v>40650489.941132292</v>
      </c>
      <c r="I240" s="611">
        <f t="shared" si="38"/>
        <v>-10749041.071132299</v>
      </c>
      <c r="J240" s="611">
        <f t="shared" si="39"/>
        <v>-0.26442586760204967</v>
      </c>
      <c r="K240" s="614">
        <f t="shared" si="107"/>
        <v>81300979.882271051</v>
      </c>
      <c r="L240" s="100"/>
    </row>
    <row r="241" spans="1:12" x14ac:dyDescent="0.25">
      <c r="A241" s="607" t="str">
        <f t="shared" si="99"/>
        <v>Abattoirs</v>
      </c>
      <c r="B241" s="415"/>
      <c r="C241" s="733"/>
      <c r="D241" s="733"/>
      <c r="E241" s="733"/>
      <c r="F241" s="733"/>
      <c r="G241" s="733"/>
      <c r="H241" s="733"/>
      <c r="I241" s="408">
        <f t="shared" si="38"/>
        <v>0</v>
      </c>
      <c r="J241" s="408" t="str">
        <f t="shared" si="39"/>
        <v/>
      </c>
      <c r="K241" s="735"/>
      <c r="L241" s="100"/>
    </row>
    <row r="242" spans="1:12" x14ac:dyDescent="0.25">
      <c r="A242" s="607" t="str">
        <f t="shared" si="99"/>
        <v>Air Transport</v>
      </c>
      <c r="B242" s="415"/>
      <c r="C242" s="733"/>
      <c r="D242" s="733">
        <v>30392698.58867228</v>
      </c>
      <c r="E242" s="733">
        <v>30392698.58867228</v>
      </c>
      <c r="F242" s="733">
        <v>1658138.92</v>
      </c>
      <c r="G242" s="733">
        <v>10082149.429999998</v>
      </c>
      <c r="H242" s="733">
        <f t="shared" ref="H242:H245" si="108">E242/12*6</f>
        <v>15196349.29433614</v>
      </c>
      <c r="I242" s="408">
        <f t="shared" si="38"/>
        <v>-5114199.8643361423</v>
      </c>
      <c r="J242" s="408">
        <f t="shared" si="39"/>
        <v>-0.33654134721964213</v>
      </c>
      <c r="K242" s="735">
        <f t="shared" ref="K242:K246" si="109">E242</f>
        <v>30392698.58867228</v>
      </c>
      <c r="L242" s="100"/>
    </row>
    <row r="243" spans="1:12" x14ac:dyDescent="0.25">
      <c r="A243" s="607" t="str">
        <f t="shared" si="99"/>
        <v xml:space="preserve">Forestry </v>
      </c>
      <c r="B243" s="415"/>
      <c r="C243" s="733"/>
      <c r="D243" s="733">
        <v>5026381.4873491293</v>
      </c>
      <c r="E243" s="733">
        <v>5026381.4873491293</v>
      </c>
      <c r="F243" s="733">
        <v>39031.280000000006</v>
      </c>
      <c r="G243" s="733">
        <v>3278063.39</v>
      </c>
      <c r="H243" s="733">
        <f t="shared" si="108"/>
        <v>2513190.7436745646</v>
      </c>
      <c r="I243" s="408">
        <f>G243-H243</f>
        <v>764872.64632543549</v>
      </c>
      <c r="J243" s="408">
        <f>IF(I243=0,"",I243/H243)</f>
        <v>0.30434325299444104</v>
      </c>
      <c r="K243" s="735">
        <f t="shared" si="109"/>
        <v>5026381.4873491293</v>
      </c>
      <c r="L243" s="100"/>
    </row>
    <row r="244" spans="1:12" x14ac:dyDescent="0.25">
      <c r="A244" s="607" t="str">
        <f t="shared" si="99"/>
        <v>Licensing and Regulation</v>
      </c>
      <c r="B244" s="415"/>
      <c r="C244" s="733"/>
      <c r="D244" s="733">
        <v>10803274.511466645</v>
      </c>
      <c r="E244" s="733">
        <v>10803274.511466645</v>
      </c>
      <c r="F244" s="733">
        <v>347034.77999999991</v>
      </c>
      <c r="G244" s="733">
        <v>2250069.4599999995</v>
      </c>
      <c r="H244" s="733">
        <f t="shared" si="108"/>
        <v>5401637.2557333224</v>
      </c>
      <c r="I244" s="408">
        <f t="shared" si="38"/>
        <v>-3151567.7957333229</v>
      </c>
      <c r="J244" s="408">
        <f t="shared" si="39"/>
        <v>-0.58344676743856405</v>
      </c>
      <c r="K244" s="735">
        <f t="shared" si="109"/>
        <v>10803274.511466645</v>
      </c>
      <c r="L244" s="100"/>
    </row>
    <row r="245" spans="1:12" x14ac:dyDescent="0.25">
      <c r="A245" s="607" t="str">
        <f t="shared" si="99"/>
        <v>Markets</v>
      </c>
      <c r="B245" s="415"/>
      <c r="C245" s="733"/>
      <c r="D245" s="733">
        <v>32893514.314352129</v>
      </c>
      <c r="E245" s="733">
        <v>32893514.314352129</v>
      </c>
      <c r="F245" s="733">
        <v>2329352.0599999996</v>
      </c>
      <c r="G245" s="733">
        <v>13626514.709999999</v>
      </c>
      <c r="H245" s="733">
        <f t="shared" si="108"/>
        <v>16446757.157176064</v>
      </c>
      <c r="I245" s="408">
        <f>G245-H245</f>
        <v>-2820242.4471760653</v>
      </c>
      <c r="J245" s="408">
        <f>IF(I245=0,"",I245/H245)</f>
        <v>-0.17147711370843308</v>
      </c>
      <c r="K245" s="735">
        <f t="shared" si="109"/>
        <v>32893514.314352129</v>
      </c>
      <c r="L245" s="100"/>
    </row>
    <row r="246" spans="1:12" x14ac:dyDescent="0.25">
      <c r="A246" s="607" t="str">
        <f t="shared" si="99"/>
        <v>Tourism</v>
      </c>
      <c r="B246" s="415"/>
      <c r="C246" s="733"/>
      <c r="D246" s="733">
        <v>2185110.9804308736</v>
      </c>
      <c r="E246" s="733">
        <v>2185110.9804308736</v>
      </c>
      <c r="F246" s="733">
        <v>68086.62</v>
      </c>
      <c r="G246" s="733">
        <v>664651.88</v>
      </c>
      <c r="H246" s="733">
        <f>(E246/12*6)+-3.23355197906494E-06</f>
        <v>1092555.4902122032</v>
      </c>
      <c r="I246" s="408">
        <f>G246-H246</f>
        <v>-427903.61021220323</v>
      </c>
      <c r="J246" s="408">
        <f>IF(I246=0,"",I246/H246)</f>
        <v>-0.39165389222390251</v>
      </c>
      <c r="K246" s="735">
        <f t="shared" si="109"/>
        <v>2185110.9804308736</v>
      </c>
      <c r="L246" s="100"/>
    </row>
    <row r="247" spans="1:12" x14ac:dyDescent="0.25">
      <c r="A247" s="615" t="str">
        <f>"Total "&amp;A127</f>
        <v>Total Expenditure - Functional</v>
      </c>
      <c r="B247" s="415">
        <v>3</v>
      </c>
      <c r="C247" s="545">
        <f t="shared" ref="C247:I247" si="110">C128+C148+C197+C221+C240</f>
        <v>0</v>
      </c>
      <c r="D247" s="545">
        <f t="shared" si="110"/>
        <v>5516853313.5446301</v>
      </c>
      <c r="E247" s="545">
        <f t="shared" si="110"/>
        <v>5563089858.9270744</v>
      </c>
      <c r="F247" s="545">
        <f t="shared" si="110"/>
        <v>412456854.28000003</v>
      </c>
      <c r="G247" s="545">
        <f t="shared" si="110"/>
        <v>2724304569.9399981</v>
      </c>
      <c r="H247" s="545">
        <f t="shared" si="110"/>
        <v>2781544929.4635339</v>
      </c>
      <c r="I247" s="545">
        <f t="shared" si="110"/>
        <v>-57240359.523535311</v>
      </c>
      <c r="J247" s="545">
        <f>IF(I247=0,"",I247/H247)</f>
        <v>-2.057862122492303E-2</v>
      </c>
      <c r="K247" s="597">
        <f>K128+K148+K197+K221+K240</f>
        <v>5563089858.9270744</v>
      </c>
      <c r="L247" s="100"/>
    </row>
    <row r="248" spans="1:12" x14ac:dyDescent="0.25">
      <c r="A248" s="621" t="str">
        <f>result</f>
        <v>Surplus/ (Deficit) for the year</v>
      </c>
      <c r="B248" s="622"/>
      <c r="C248" s="76">
        <f t="shared" ref="C248:H248" si="111">C125-C247</f>
        <v>0</v>
      </c>
      <c r="D248" s="76">
        <f t="shared" si="111"/>
        <v>927224369.32743168</v>
      </c>
      <c r="E248" s="76">
        <f t="shared" si="111"/>
        <v>969609979.94499016</v>
      </c>
      <c r="F248" s="76">
        <f t="shared" si="111"/>
        <v>321041897.30999988</v>
      </c>
      <c r="G248" s="76">
        <f t="shared" si="111"/>
        <v>583586118.0500021</v>
      </c>
      <c r="H248" s="76">
        <f t="shared" si="111"/>
        <v>484804989.97249889</v>
      </c>
      <c r="I248" s="634">
        <f>G248-H248</f>
        <v>98781128.077503204</v>
      </c>
      <c r="J248" s="634">
        <f>IF(I248=0,"",I248/H248)</f>
        <v>0.20375435509256346</v>
      </c>
      <c r="K248" s="234">
        <f>K125-K247</f>
        <v>969609979.94499016</v>
      </c>
      <c r="L248" s="100"/>
    </row>
    <row r="249" spans="1:12" x14ac:dyDescent="0.25">
      <c r="A249" s="623" t="str">
        <f>head27a</f>
        <v>References</v>
      </c>
      <c r="B249" s="624"/>
      <c r="C249" s="625"/>
      <c r="D249" s="625"/>
      <c r="E249" s="625"/>
      <c r="F249" s="625"/>
      <c r="G249" s="625"/>
      <c r="H249" s="625"/>
      <c r="I249" s="635"/>
      <c r="J249" s="635"/>
      <c r="K249" s="625"/>
    </row>
    <row r="250" spans="1:12" x14ac:dyDescent="0.25">
      <c r="A250" s="584" t="s">
        <v>177</v>
      </c>
      <c r="B250" s="624"/>
      <c r="C250" s="626"/>
      <c r="D250" s="626"/>
      <c r="E250" s="627"/>
      <c r="F250" s="627"/>
      <c r="G250" s="627"/>
      <c r="H250" s="627"/>
      <c r="I250" s="636"/>
      <c r="J250" s="636"/>
      <c r="K250" s="627"/>
    </row>
    <row r="251" spans="1:12" x14ac:dyDescent="0.25">
      <c r="A251" s="487" t="s">
        <v>1205</v>
      </c>
      <c r="B251" s="624"/>
      <c r="C251" s="626"/>
      <c r="D251" s="626"/>
      <c r="E251" s="627"/>
      <c r="F251" s="627"/>
      <c r="G251" s="627"/>
      <c r="H251" s="627"/>
      <c r="I251" s="636"/>
      <c r="J251" s="636"/>
      <c r="K251" s="627"/>
    </row>
    <row r="252" spans="1:12" x14ac:dyDescent="0.25">
      <c r="A252" s="584" t="s">
        <v>1206</v>
      </c>
      <c r="B252" s="624"/>
      <c r="C252" s="626"/>
      <c r="D252" s="626"/>
      <c r="E252" s="627"/>
      <c r="F252" s="627"/>
      <c r="G252" s="627"/>
      <c r="H252" s="627"/>
      <c r="I252" s="636"/>
      <c r="J252" s="636"/>
      <c r="K252" s="627"/>
    </row>
    <row r="253" spans="1:12" ht="25.9" customHeight="1" x14ac:dyDescent="0.25">
      <c r="A253" s="1045" t="s">
        <v>1207</v>
      </c>
      <c r="B253" s="1045"/>
      <c r="C253" s="1045"/>
      <c r="D253" s="1045"/>
      <c r="E253" s="1045"/>
      <c r="F253" s="1045"/>
      <c r="G253" s="1045"/>
      <c r="H253" s="1045"/>
      <c r="I253" s="1045"/>
      <c r="J253" s="1045"/>
      <c r="K253" s="1045"/>
    </row>
    <row r="254" spans="1:12" x14ac:dyDescent="0.25">
      <c r="A254" s="67"/>
      <c r="B254" s="58"/>
      <c r="C254" s="61"/>
      <c r="D254" s="61"/>
      <c r="E254" s="62"/>
      <c r="F254" s="62"/>
      <c r="G254" s="62"/>
      <c r="H254" s="62"/>
      <c r="I254" s="59"/>
      <c r="J254" s="59"/>
      <c r="K254" s="62"/>
    </row>
    <row r="255" spans="1:12" x14ac:dyDescent="0.25">
      <c r="A255" s="67"/>
      <c r="B255" s="58"/>
      <c r="C255" s="61"/>
      <c r="D255" s="61"/>
      <c r="E255" s="62"/>
      <c r="F255" s="62"/>
      <c r="G255" s="62"/>
      <c r="H255" s="62"/>
      <c r="I255" s="59"/>
      <c r="J255" s="59"/>
      <c r="K255" s="62"/>
    </row>
    <row r="256" spans="1:12" x14ac:dyDescent="0.25">
      <c r="A256" s="81" t="s">
        <v>178</v>
      </c>
      <c r="B256" s="64"/>
      <c r="C256" s="628">
        <f>C125-'C4-FinPerf RE'!C53</f>
        <v>0</v>
      </c>
      <c r="D256" s="628">
        <f>D125-'C4-FinPerf RE'!D53</f>
        <v>375844</v>
      </c>
      <c r="E256" s="628">
        <f>E125-'C4-FinPerf RE'!E53</f>
        <v>0</v>
      </c>
      <c r="F256" s="628">
        <f>F125-'C4-FinPerf RE'!F53</f>
        <v>0</v>
      </c>
      <c r="G256" s="628">
        <f>G125-'C4-FinPerf RE'!G53</f>
        <v>0</v>
      </c>
      <c r="H256" s="628">
        <f>H125-'C4-FinPerf RE'!H53</f>
        <v>0</v>
      </c>
      <c r="I256" s="628">
        <f>I125-'C4-FinPerf RE'!I53</f>
        <v>41540768.553967476</v>
      </c>
      <c r="J256" s="629"/>
      <c r="K256" s="628">
        <f>K125-'C4-FinPerf RE'!K53</f>
        <v>0</v>
      </c>
    </row>
    <row r="257" spans="1:11" x14ac:dyDescent="0.25">
      <c r="A257" s="81" t="s">
        <v>179</v>
      </c>
      <c r="B257" s="64"/>
      <c r="C257" s="628">
        <f>C247-'C4-FinPerf RE'!C36</f>
        <v>0</v>
      </c>
      <c r="D257" s="628">
        <f>D247-'C4-FinPerf RE'!D36</f>
        <v>375844.00000190735</v>
      </c>
      <c r="E257" s="628">
        <f>E247-'C4-FinPerf RE'!E36</f>
        <v>0</v>
      </c>
      <c r="F257" s="628">
        <f>F247-'C4-FinPerf RE'!F36</f>
        <v>0</v>
      </c>
      <c r="G257" s="628">
        <f>G247-'C4-FinPerf RE'!G36</f>
        <v>0</v>
      </c>
      <c r="H257" s="628">
        <f>H247-'C4-FinPerf RE'!H36</f>
        <v>0</v>
      </c>
      <c r="I257" s="628">
        <f>I247-'C4-FinPerf RE'!I36</f>
        <v>-5.9604644775390625E-8</v>
      </c>
      <c r="J257" s="629"/>
      <c r="K257" s="628">
        <f>K247-'C4-FinPerf RE'!K36</f>
        <v>0</v>
      </c>
    </row>
    <row r="261" spans="1:11" x14ac:dyDescent="0.25">
      <c r="E261" s="630"/>
    </row>
  </sheetData>
  <mergeCells count="4">
    <mergeCell ref="A253:K253"/>
    <mergeCell ref="A1:K1"/>
    <mergeCell ref="A2:A3"/>
    <mergeCell ref="B2:B3"/>
  </mergeCells>
  <phoneticPr fontId="2"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892be51ac872460a567cba351f69e0e7">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82B849D-641A-4DCA-8055-7AD4E3AAB7FC}">
  <ds:schemaRefs>
    <ds:schemaRef ds:uri="http://schemas.microsoft.com/sharepoint/v3/contenttype/forms"/>
  </ds:schemaRefs>
</ds:datastoreItem>
</file>

<file path=customXml/itemProps2.xml><?xml version="1.0" encoding="utf-8"?>
<ds:datastoreItem xmlns:ds="http://schemas.openxmlformats.org/officeDocument/2006/customXml" ds:itemID="{4ABA8E4D-C34B-44B1-9984-CB62D67C4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75F389-5A4D-4FEC-9AD2-A8B50AD79758}">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155</vt:i4>
      </vt:variant>
    </vt:vector>
  </HeadingPairs>
  <TitlesOfParts>
    <vt:vector size="188" baseType="lpstr">
      <vt:lpstr>START</vt:lpstr>
      <vt:lpstr>Instructions</vt:lpstr>
      <vt:lpstr>Org structure</vt:lpstr>
      <vt:lpstr>Contacts</vt:lpstr>
      <vt:lpstr>C1-Sum</vt:lpstr>
      <vt:lpstr>C2-FinPerf SC</vt:lpstr>
      <vt:lpstr>C2C</vt:lpstr>
      <vt:lpstr>C3-FinPerf V</vt:lpstr>
      <vt:lpstr>C3C</vt:lpstr>
      <vt:lpstr>C4-FinPerf RE</vt:lpstr>
      <vt:lpstr>C5-Capex</vt:lpstr>
      <vt:lpstr>C5C</vt:lpstr>
      <vt:lpstr>C6-FinPos</vt:lpstr>
      <vt:lpstr>C7-CFlow</vt:lpstr>
      <vt:lpstr>SC1</vt:lpstr>
      <vt:lpstr>SC2</vt:lpstr>
      <vt:lpstr>SC3</vt:lpstr>
      <vt:lpstr>SC4</vt:lpstr>
      <vt:lpstr>SC5</vt:lpstr>
      <vt:lpstr>SC6</vt:lpstr>
      <vt:lpstr>SC7(1)</vt:lpstr>
      <vt:lpstr>SC7(2)</vt:lpstr>
      <vt:lpstr>SC8</vt:lpstr>
      <vt:lpstr>SC9</vt:lpstr>
      <vt:lpstr>SC10</vt:lpstr>
      <vt:lpstr>SC11</vt:lpstr>
      <vt:lpstr>SC12</vt:lpstr>
      <vt:lpstr>SC13a</vt:lpstr>
      <vt:lpstr>SC13b</vt:lpstr>
      <vt:lpstr>SC13c</vt:lpstr>
      <vt:lpstr>SC13d</vt:lpstr>
      <vt:lpstr>SC13e</vt:lpstr>
      <vt:lpstr>SC71charts</vt:lpstr>
      <vt:lpstr>Approve2</vt:lpstr>
      <vt:lpstr>Approve3</vt:lpstr>
      <vt:lpstr>basedesc</vt:lpstr>
      <vt:lpstr>Capytd</vt:lpstr>
      <vt:lpstr>Cash1</vt:lpstr>
      <vt:lpstr>Cash2</vt:lpstr>
      <vt:lpstr>Consolques</vt:lpstr>
      <vt:lpstr>date</vt:lpstr>
      <vt:lpstr>desc</vt:lpstr>
      <vt:lpstr>Instructions!FinYear</vt:lpstr>
      <vt:lpstr>Head1</vt:lpstr>
      <vt:lpstr>Head10</vt:lpstr>
      <vt:lpstr>Head11</vt:lpstr>
      <vt:lpstr>Head12</vt:lpstr>
      <vt:lpstr>Head13</vt:lpstr>
      <vt:lpstr>Head14</vt:lpstr>
      <vt:lpstr>Head15</vt:lpstr>
      <vt:lpstr>Head16</vt:lpstr>
      <vt:lpstr>Head17</vt:lpstr>
      <vt:lpstr>Head18</vt:lpstr>
      <vt:lpstr>Head19</vt:lpstr>
      <vt:lpstr>Head2</vt:lpstr>
      <vt:lpstr>Head20</vt:lpstr>
      <vt:lpstr>Head21</vt:lpstr>
      <vt:lpstr>Head22</vt:lpstr>
      <vt:lpstr>Head23</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Month</vt:lpstr>
      <vt:lpstr>Instructions!MTREF</vt:lpstr>
      <vt:lpstr>MTREF</vt:lpstr>
      <vt:lpstr>muni</vt:lpstr>
      <vt:lpstr>MuniEntities</vt:lpstr>
      <vt:lpstr>MuniType</vt:lpstr>
      <vt:lpstr>NatCapexGrantNames</vt:lpstr>
      <vt:lpstr>NatOpexGrantNames</vt:lpstr>
      <vt:lpstr>ninety</vt:lpstr>
      <vt:lpstr>Orgstructurevotes</vt:lpstr>
      <vt:lpstr>'C1-Sum'!Print_Area</vt:lpstr>
      <vt:lpstr>'C2-FinPerf SC'!Print_Area</vt:lpstr>
      <vt:lpstr>'C3-FinPerf V'!Print_Area</vt:lpstr>
      <vt:lpstr>'C4-FinPerf RE'!Print_Area</vt:lpstr>
      <vt:lpstr>'C5-Capex'!Print_Area</vt:lpstr>
      <vt:lpstr>'C6-FinPos'!Print_Area</vt:lpstr>
      <vt:lpstr>'C7-CFlow'!Print_Area</vt:lpstr>
      <vt:lpstr>Instructions!Print_Area</vt:lpstr>
      <vt:lpstr>'SC1'!Print_Area</vt:lpstr>
      <vt:lpstr>'SC10'!Print_Area</vt:lpstr>
      <vt:lpstr>'SC11'!Print_Area</vt:lpstr>
      <vt:lpstr>'SC12'!Print_Area</vt:lpstr>
      <vt:lpstr>SC13a!Print_Area</vt:lpstr>
      <vt:lpstr>'SC2'!Print_Area</vt:lpstr>
      <vt:lpstr>'SC3'!Print_Area</vt:lpstr>
      <vt:lpstr>'SC4'!Print_Area</vt:lpstr>
      <vt:lpstr>'SC5'!Print_Area</vt:lpstr>
      <vt:lpstr>'SC6'!Print_Area</vt:lpstr>
      <vt:lpstr>'SC7(1)'!Print_Area</vt:lpstr>
      <vt:lpstr>'SC7(2)'!Print_Area</vt:lpstr>
      <vt:lpstr>'SC8'!Print_Area</vt:lpstr>
      <vt:lpstr>'SC9'!Print_Area</vt:lpstr>
      <vt:lpstr>ProvCapexGrantsNames</vt:lpstr>
      <vt:lpstr>ProvOpexGrantNames</vt:lpstr>
      <vt:lpstr>RandM</vt:lpstr>
      <vt:lpstr>result</vt:lpstr>
      <vt:lpstr>S71A</vt:lpstr>
      <vt:lpstr>S71B</vt:lpstr>
      <vt:lpstr>s71B8</vt:lpstr>
      <vt:lpstr>s71B9</vt:lpstr>
      <vt:lpstr>S71C</vt:lpstr>
      <vt:lpstr>S71D</vt:lpstr>
      <vt:lpstr>S71E</vt:lpstr>
      <vt:lpstr>S71F</vt:lpstr>
      <vt:lpstr>S71G</vt:lpstr>
      <vt:lpstr>S71H</vt:lpstr>
      <vt:lpstr>S71I</vt:lpstr>
      <vt:lpstr>S71J</vt:lpstr>
      <vt:lpstr>S71K</vt:lpstr>
      <vt:lpstr>S71L</vt:lpstr>
      <vt:lpstr>S71M</vt:lpstr>
      <vt:lpstr>S71N</vt:lpstr>
      <vt:lpstr>S71O</vt:lpstr>
      <vt:lpstr>S71P</vt:lpstr>
      <vt:lpstr>S71Q</vt:lpstr>
      <vt:lpstr>S71R</vt:lpstr>
      <vt:lpstr>S71Sa</vt:lpstr>
      <vt:lpstr>S71Sb</vt:lpstr>
      <vt:lpstr>S71Sc</vt:lpstr>
      <vt:lpstr>S71Sd</vt:lpstr>
      <vt:lpstr>S71Se</vt:lpstr>
      <vt:lpstr>s71sum</vt:lpstr>
      <vt:lpstr>S71T</vt:lpstr>
      <vt:lpstr>SFPerf1</vt:lpstr>
      <vt:lpstr>SFPerf2</vt:lpstr>
      <vt:lpstr>SFpos1</vt:lpstr>
      <vt:lpstr>SFpos2</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YesNo</vt:lpstr>
    </vt:vector>
  </TitlesOfParts>
  <Company>ctc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 budget regulation testing</dc:title>
  <dc:subject>eThekwini version</dc:subject>
  <dc:creator>Nigel Graves</dc:creator>
  <cp:lastModifiedBy>Sbonelo S. Mwelase</cp:lastModifiedBy>
  <cp:lastPrinted>2016-12-13T05:59:10Z</cp:lastPrinted>
  <dcterms:created xsi:type="dcterms:W3CDTF">2004-04-07T16:19:08Z</dcterms:created>
  <dcterms:modified xsi:type="dcterms:W3CDTF">2021-01-18T12:35:19Z</dcterms:modified>
</cp:coreProperties>
</file>